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20" windowWidth="21600" windowHeight="7815" firstSheet="1" activeTab="8"/>
  </bookViews>
  <sheets>
    <sheet name="Quadro 1 AP" sheetId="1" state="hidden" r:id="rId1"/>
    <sheet name="Quadro 1 BP " sheetId="6" r:id="rId2"/>
    <sheet name="Quadro 3 DMPL" sheetId="3" state="hidden" r:id="rId3"/>
    <sheet name="Plan3" sheetId="8" state="hidden" r:id="rId4"/>
    <sheet name="Quadro 2 DRE" sheetId="18" r:id="rId5"/>
    <sheet name="Quadro 3 DRA" sheetId="17" r:id="rId6"/>
    <sheet name="Quadro 4 DMPL" sheetId="19" r:id="rId7"/>
    <sheet name="Quadro 5 DFC" sheetId="20" r:id="rId8"/>
    <sheet name="Quadro 6 DVA" sheetId="21" r:id="rId9"/>
  </sheets>
  <externalReferences>
    <externalReference r:id="rId10"/>
    <externalReference r:id="rId11"/>
  </externalReferences>
  <definedNames>
    <definedName name="aaaa">#REF!</definedName>
    <definedName name="ARA_Threshold">#REF!</definedName>
    <definedName name="_xlnm.Print_Area" localSheetId="0">'Quadro 1 AP'!$A$1:$AN$48</definedName>
    <definedName name="_xlnm.Print_Area" localSheetId="1">'Quadro 1 BP '!$B$1:$R$33</definedName>
    <definedName name="_xlnm.Print_Area" localSheetId="4">'Quadro 2 DRE'!$B$3:$J$40</definedName>
    <definedName name="_xlnm.Print_Area" localSheetId="6">'Quadro 4 DMPL'!$B$1:$O$22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_xlnm.Database">#REF!</definedName>
    <definedName name="BG_Del" hidden="1">15</definedName>
    <definedName name="BG_Ins" hidden="1">4</definedName>
    <definedName name="BG_Mod" hidden="1">6</definedName>
    <definedName name="BOOK">#REF!</definedName>
    <definedName name="BuiltIn_Database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Area___0___0___0___0">#REF!</definedName>
    <definedName name="BuiltIn_Print_Area___0___0___0___0___0">#REF!</definedName>
    <definedName name="BuiltIn_Print_Area___0___0___0___0___0___0">#REF!</definedName>
    <definedName name="BuiltIn_Print_Area___0___0___0___0___0___0___0">#REF!</definedName>
    <definedName name="BuiltIn_Print_Area___0___0___0___0___0___0___0___0">#REF!</definedName>
    <definedName name="BuiltIn_Print_Area___0___0___0___0___0___0___0___0___0">#REF!</definedName>
    <definedName name="BuiltIn_Print_Area___0___0___0___0___0___0___0___0___0___0">#REF!</definedName>
    <definedName name="BuiltIn_Print_Area___0___0___0___0___0___0___0___0___0___0___0">#REF!</definedName>
    <definedName name="BuiltIn_Print_Area___0___0___0___0___0___0___0___0___0___0___0___0">#REF!</definedName>
    <definedName name="BuiltIn_Print_Area___0___0___0___0___0___0___0___0___0___0___0___0___0">#REF!</definedName>
    <definedName name="ir">#REF!</definedName>
    <definedName name="ird">#REF!</definedName>
    <definedName name="PAGINA1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chenectady_Europe_Consolidated">#REF!</definedName>
    <definedName name="TESTE">#REF!</definedName>
    <definedName name="XRefActiveRow" hidden="1">#REF!</definedName>
    <definedName name="XRefColumnsCount" hidden="1">1</definedName>
    <definedName name="XRefCopy1" hidden="1">[2]DMPL!#REF!</definedName>
    <definedName name="XRefCopyRangeCount" hidden="1">1</definedName>
    <definedName name="XRefPaste1" hidden="1">[2]DMPL!#REF!</definedName>
    <definedName name="XRefPaste1Row" hidden="1">#REF!</definedName>
    <definedName name="XRefPasteRangeCount" hidden="1">1</definedName>
  </definedNames>
  <calcPr calcId="145621"/>
</workbook>
</file>

<file path=xl/calcChain.xml><?xml version="1.0" encoding="utf-8"?>
<calcChain xmlns="http://schemas.openxmlformats.org/spreadsheetml/2006/main">
  <c r="B51" i="21" l="1"/>
  <c r="C47" i="21"/>
  <c r="C46" i="21"/>
  <c r="B46" i="21"/>
  <c r="C45" i="21"/>
  <c r="C44" i="21"/>
  <c r="B44" i="21"/>
  <c r="B48" i="21" s="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C41" i="21" s="1"/>
  <c r="B33" i="21"/>
  <c r="B41" i="21" s="1"/>
  <c r="B53" i="21" s="1"/>
  <c r="C26" i="21"/>
  <c r="B26" i="21"/>
  <c r="C25" i="21"/>
  <c r="C27" i="21" s="1"/>
  <c r="B25" i="21"/>
  <c r="B27" i="21" s="1"/>
  <c r="C17" i="21"/>
  <c r="B17" i="21"/>
  <c r="C16" i="21"/>
  <c r="C18" i="21" s="1"/>
  <c r="B16" i="21"/>
  <c r="B18" i="21" s="1"/>
  <c r="C13" i="21"/>
  <c r="B13" i="21"/>
  <c r="C12" i="21"/>
  <c r="C14" i="21" s="1"/>
  <c r="C20" i="21" s="1"/>
  <c r="C22" i="21" s="1"/>
  <c r="C29" i="21" s="1"/>
  <c r="B12" i="21"/>
  <c r="B14" i="21" s="1"/>
  <c r="B20" i="21" s="1"/>
  <c r="B22" i="21" s="1"/>
  <c r="B29" i="21" s="1"/>
  <c r="C48" i="21" l="1"/>
  <c r="I36" i="20" l="1"/>
  <c r="G17" i="20"/>
  <c r="G11" i="20"/>
  <c r="I45" i="20"/>
  <c r="G45" i="20"/>
  <c r="G32" i="20"/>
  <c r="G36" i="20" s="1"/>
  <c r="I29" i="20"/>
  <c r="G19" i="20"/>
  <c r="I15" i="20"/>
  <c r="G13" i="20"/>
  <c r="G10" i="20"/>
  <c r="G8" i="20"/>
  <c r="G22" i="20" l="1"/>
  <c r="G15" i="20"/>
  <c r="G24" i="20" s="1"/>
  <c r="G29" i="20"/>
  <c r="G51" i="20" l="1"/>
  <c r="L33" i="19" l="1"/>
  <c r="N30" i="19"/>
  <c r="N29" i="19"/>
  <c r="N28" i="19"/>
  <c r="N27" i="19"/>
  <c r="N25" i="19"/>
  <c r="N24" i="19"/>
  <c r="L22" i="19"/>
  <c r="J22" i="19"/>
  <c r="J33" i="19" s="1"/>
  <c r="F22" i="19"/>
  <c r="F33" i="19" s="1"/>
  <c r="D22" i="19"/>
  <c r="D33" i="19" s="1"/>
  <c r="N20" i="19"/>
  <c r="N19" i="19"/>
  <c r="H18" i="19"/>
  <c r="N18" i="19" s="1"/>
  <c r="N17" i="19"/>
  <c r="N16" i="19"/>
  <c r="N15" i="19"/>
  <c r="N14" i="19"/>
  <c r="N13" i="19"/>
  <c r="N11" i="19"/>
  <c r="N22" i="19" s="1"/>
  <c r="N33" i="19" s="1"/>
  <c r="H22" i="19" l="1"/>
  <c r="H33" i="19" s="1"/>
  <c r="I26" i="18" l="1"/>
  <c r="G26" i="18"/>
  <c r="I13" i="18"/>
  <c r="I21" i="18" s="1"/>
  <c r="I28" i="18" s="1"/>
  <c r="I35" i="18" s="1"/>
  <c r="G13" i="18"/>
  <c r="G21" i="18" s="1"/>
  <c r="G28" i="18" s="1"/>
  <c r="G35" i="18" s="1"/>
  <c r="R29" i="6" l="1"/>
  <c r="P29" i="6"/>
  <c r="P27" i="6"/>
  <c r="R27" i="6"/>
  <c r="G13" i="6" l="1"/>
  <c r="R15" i="6" l="1"/>
  <c r="P15" i="6"/>
  <c r="P22" i="6" l="1"/>
  <c r="G25" i="6"/>
  <c r="G15" i="6"/>
  <c r="P31" i="6" l="1"/>
  <c r="G31" i="6"/>
  <c r="I25" i="6" l="1"/>
  <c r="R22" i="6" l="1"/>
  <c r="I15" i="6" l="1"/>
  <c r="R31" i="6" l="1"/>
  <c r="I31" i="6"/>
  <c r="I32" i="3" l="1"/>
  <c r="E28" i="3"/>
  <c r="E32" i="3" s="1"/>
  <c r="K26" i="3"/>
  <c r="K25" i="3"/>
  <c r="K24" i="3"/>
  <c r="G22" i="3"/>
  <c r="G32" i="3" s="1"/>
  <c r="C22" i="3"/>
  <c r="C32" i="3" s="1"/>
  <c r="K16" i="3"/>
  <c r="C13" i="3"/>
  <c r="K13" i="3" s="1"/>
  <c r="K22" i="3" s="1"/>
  <c r="K32" i="3" s="1"/>
  <c r="E49" i="1"/>
  <c r="S48" i="1"/>
  <c r="S47" i="1"/>
  <c r="Z46" i="1"/>
  <c r="AL46" i="1" s="1"/>
  <c r="S46" i="1"/>
  <c r="AL45" i="1"/>
  <c r="S45" i="1"/>
  <c r="X44" i="1"/>
  <c r="S44" i="1"/>
  <c r="AK43" i="1"/>
  <c r="AJ43" i="1"/>
  <c r="AF43" i="1" s="1"/>
  <c r="AI43" i="1"/>
  <c r="AH43" i="1"/>
  <c r="AD43" i="1"/>
  <c r="AC43" i="1"/>
  <c r="Z43" i="1"/>
  <c r="AL43" i="1" s="1"/>
  <c r="S43" i="1"/>
  <c r="AL42" i="1"/>
  <c r="AF42" i="1"/>
  <c r="AG42" i="1" s="1"/>
  <c r="S42" i="1"/>
  <c r="AF41" i="1"/>
  <c r="AG41" i="1" s="1"/>
  <c r="S41" i="1"/>
  <c r="AN40" i="1"/>
  <c r="AN44" i="1" s="1"/>
  <c r="AF40" i="1"/>
  <c r="AG40" i="1" s="1"/>
  <c r="AB40" i="1"/>
  <c r="Z40" i="1"/>
  <c r="Z44" i="1" s="1"/>
  <c r="S40" i="1"/>
  <c r="AL39" i="1"/>
  <c r="AF39" i="1"/>
  <c r="AB41" i="1" s="1"/>
  <c r="AL41" i="1" s="1"/>
  <c r="C39" i="1"/>
  <c r="AL38" i="1"/>
  <c r="AG38" i="1"/>
  <c r="AF38" i="1"/>
  <c r="S38" i="1"/>
  <c r="M38" i="1"/>
  <c r="N38" i="1" s="1"/>
  <c r="AF37" i="1"/>
  <c r="AG37" i="1" s="1"/>
  <c r="AB37" i="1"/>
  <c r="AB44" i="1" s="1"/>
  <c r="Z37" i="1"/>
  <c r="AL37" i="1" s="1"/>
  <c r="S37" i="1"/>
  <c r="N37" i="1"/>
  <c r="M37" i="1"/>
  <c r="E37" i="1"/>
  <c r="AL36" i="1"/>
  <c r="S36" i="1"/>
  <c r="M36" i="1"/>
  <c r="N36" i="1" s="1"/>
  <c r="AL35" i="1"/>
  <c r="U35" i="1"/>
  <c r="U39" i="1" s="1"/>
  <c r="U49" i="1" s="1"/>
  <c r="S35" i="1"/>
  <c r="M35" i="1"/>
  <c r="N35" i="1" s="1"/>
  <c r="G35" i="1"/>
  <c r="E35" i="1"/>
  <c r="AL34" i="1"/>
  <c r="S34" i="1"/>
  <c r="M34" i="1"/>
  <c r="N34" i="1" s="1"/>
  <c r="AL33" i="1"/>
  <c r="S33" i="1"/>
  <c r="M33" i="1"/>
  <c r="N33" i="1" s="1"/>
  <c r="E33" i="1"/>
  <c r="AG32" i="1"/>
  <c r="M32" i="1"/>
  <c r="N32" i="1" s="1"/>
  <c r="G32" i="1"/>
  <c r="S32" i="1" s="1"/>
  <c r="E32" i="1"/>
  <c r="AL31" i="1"/>
  <c r="AF31" i="1"/>
  <c r="AG31" i="1" s="1"/>
  <c r="S31" i="1"/>
  <c r="N31" i="1"/>
  <c r="AF30" i="1"/>
  <c r="AG30" i="1" s="1"/>
  <c r="Z30" i="1"/>
  <c r="R30" i="1"/>
  <c r="R39" i="1" s="1"/>
  <c r="R49" i="1" s="1"/>
  <c r="Q30" i="1"/>
  <c r="Q39" i="1" s="1"/>
  <c r="P30" i="1"/>
  <c r="P39" i="1" s="1"/>
  <c r="O30" i="1"/>
  <c r="O39" i="1" s="1"/>
  <c r="O49" i="1" s="1"/>
  <c r="J30" i="1"/>
  <c r="J39" i="1" s="1"/>
  <c r="H30" i="1"/>
  <c r="H39" i="1" s="1"/>
  <c r="D30" i="1"/>
  <c r="D39" i="1" s="1"/>
  <c r="AF29" i="1"/>
  <c r="AB30" i="1" s="1"/>
  <c r="Z29" i="1"/>
  <c r="S29" i="1"/>
  <c r="N29" i="1"/>
  <c r="E29" i="1"/>
  <c r="AF28" i="1"/>
  <c r="AB29" i="1" s="1"/>
  <c r="Z28" i="1"/>
  <c r="Z32" i="1" s="1"/>
  <c r="AF27" i="1"/>
  <c r="AG27" i="1" s="1"/>
  <c r="M27" i="1"/>
  <c r="N27" i="1" s="1"/>
  <c r="E27" i="1"/>
  <c r="G27" i="1" s="1"/>
  <c r="S27" i="1" s="1"/>
  <c r="AN26" i="1"/>
  <c r="AN32" i="1" s="1"/>
  <c r="AL25" i="1"/>
  <c r="AH25" i="1"/>
  <c r="AF25" i="1"/>
  <c r="AB27" i="1" s="1"/>
  <c r="M25" i="1"/>
  <c r="E25" i="1"/>
  <c r="G25" i="1" s="1"/>
  <c r="S25" i="1" s="1"/>
  <c r="S24" i="1"/>
  <c r="N24" i="1"/>
  <c r="S23" i="1"/>
  <c r="N23" i="1"/>
  <c r="S22" i="1"/>
  <c r="N22" i="1"/>
  <c r="AN21" i="1"/>
  <c r="AK21" i="1"/>
  <c r="AJ21" i="1"/>
  <c r="AF21" i="1" s="1"/>
  <c r="AI21" i="1"/>
  <c r="AH21" i="1"/>
  <c r="AD21" i="1"/>
  <c r="AC21" i="1"/>
  <c r="X21" i="1"/>
  <c r="U21" i="1"/>
  <c r="R21" i="1"/>
  <c r="Q21" i="1"/>
  <c r="P21" i="1"/>
  <c r="O21" i="1"/>
  <c r="J21" i="1"/>
  <c r="H21" i="1"/>
  <c r="C21" i="1"/>
  <c r="AL20" i="1"/>
  <c r="AF20" i="1"/>
  <c r="AG20" i="1" s="1"/>
  <c r="S20" i="1"/>
  <c r="M20" i="1"/>
  <c r="N20" i="1" s="1"/>
  <c r="AG18" i="1"/>
  <c r="AB18" i="1"/>
  <c r="AB21" i="1" s="1"/>
  <c r="Z18" i="1"/>
  <c r="Z21" i="1" s="1"/>
  <c r="AL17" i="1"/>
  <c r="AF17" i="1"/>
  <c r="AG17" i="1" s="1"/>
  <c r="S17" i="1"/>
  <c r="M17" i="1"/>
  <c r="N17" i="1" s="1"/>
  <c r="AL16" i="1"/>
  <c r="AF16" i="1"/>
  <c r="AG16" i="1" s="1"/>
  <c r="N16" i="1"/>
  <c r="E16" i="1"/>
  <c r="G16" i="1" s="1"/>
  <c r="D16" i="1"/>
  <c r="AL15" i="1"/>
  <c r="AF15" i="1"/>
  <c r="AG15" i="1" s="1"/>
  <c r="S15" i="1"/>
  <c r="M15" i="1"/>
  <c r="E15" i="1" s="1"/>
  <c r="AL14" i="1"/>
  <c r="AF14" i="1"/>
  <c r="AG14" i="1" s="1"/>
  <c r="M14" i="1"/>
  <c r="E14" i="1"/>
  <c r="G14" i="1" s="1"/>
  <c r="D14" i="1"/>
  <c r="AL13" i="1"/>
  <c r="AF13" i="1"/>
  <c r="AG13" i="1" s="1"/>
  <c r="N13" i="1"/>
  <c r="E13" i="1"/>
  <c r="G13" i="1" s="1"/>
  <c r="D13" i="1"/>
  <c r="S13" i="1" s="1"/>
  <c r="N15" i="1" l="1"/>
  <c r="AG25" i="1"/>
  <c r="AG29" i="1"/>
  <c r="S14" i="1"/>
  <c r="AG28" i="1"/>
  <c r="AL29" i="1"/>
  <c r="AG43" i="1"/>
  <c r="M21" i="1"/>
  <c r="E21" i="1" s="1"/>
  <c r="G21" i="1" s="1"/>
  <c r="C49" i="1"/>
  <c r="AG21" i="1"/>
  <c r="M30" i="1"/>
  <c r="N30" i="1" s="1"/>
  <c r="H49" i="1"/>
  <c r="E30" i="1"/>
  <c r="G30" i="1" s="1"/>
  <c r="G39" i="1" s="1"/>
  <c r="M39" i="1"/>
  <c r="E39" i="1" s="1"/>
  <c r="S16" i="1"/>
  <c r="AL21" i="1"/>
  <c r="AL30" i="1"/>
  <c r="AN47" i="1"/>
  <c r="AN49" i="1" s="1"/>
  <c r="AL27" i="1"/>
  <c r="Z47" i="1"/>
  <c r="AL44" i="1"/>
  <c r="AL18" i="1"/>
  <c r="D21" i="1"/>
  <c r="AB28" i="1"/>
  <c r="AB32" i="1" s="1"/>
  <c r="AL40" i="1"/>
  <c r="X47" i="1"/>
  <c r="N14" i="1"/>
  <c r="N25" i="1"/>
  <c r="E34" i="1"/>
  <c r="E36" i="1"/>
  <c r="E38" i="1"/>
  <c r="AG39" i="1"/>
  <c r="G49" i="1" l="1"/>
  <c r="S21" i="1"/>
  <c r="S30" i="1"/>
  <c r="N39" i="1"/>
  <c r="N21" i="1"/>
  <c r="AB47" i="1"/>
  <c r="AL47" i="1" s="1"/>
  <c r="AL32" i="1"/>
  <c r="AL28" i="1"/>
  <c r="D49" i="1"/>
  <c r="S49" i="1" s="1"/>
  <c r="S39" i="1"/>
  <c r="I22" i="20"/>
  <c r="I24" i="20" s="1"/>
</calcChain>
</file>

<file path=xl/sharedStrings.xml><?xml version="1.0" encoding="utf-8"?>
<sst xmlns="http://schemas.openxmlformats.org/spreadsheetml/2006/main" count="307" uniqueCount="230">
  <si>
    <t xml:space="preserve">DME ENERGÉTICA S.A. </t>
  </si>
  <si>
    <t xml:space="preserve">  </t>
  </si>
  <si>
    <t>Circulante</t>
  </si>
  <si>
    <t>Materiais e Serviços</t>
  </si>
  <si>
    <t xml:space="preserve">Contas a receber </t>
  </si>
  <si>
    <t>Outros créditos</t>
  </si>
  <si>
    <t>Dividendos</t>
  </si>
  <si>
    <t>Credores Diversos</t>
  </si>
  <si>
    <t>Total do ativo circulante</t>
  </si>
  <si>
    <t xml:space="preserve">        </t>
  </si>
  <si>
    <t>Outras Obrigações</t>
  </si>
  <si>
    <t>Ativo não Circulante</t>
  </si>
  <si>
    <t/>
  </si>
  <si>
    <t>Total do passivo circulante</t>
  </si>
  <si>
    <t xml:space="preserve"> Depósito Judicial Trabalhista</t>
  </si>
  <si>
    <t xml:space="preserve"> Despesas Pagas Antecipadamente</t>
  </si>
  <si>
    <t>Passivo não Circulante</t>
  </si>
  <si>
    <t>DME Distribuição S.A. DMED</t>
  </si>
  <si>
    <t>DME Poços de Caldas Participações S.A.</t>
  </si>
  <si>
    <t>Serra do Facão Energia S.A.</t>
  </si>
  <si>
    <t xml:space="preserve">Investimentos </t>
  </si>
  <si>
    <t>Imobilizado em Serviço</t>
  </si>
  <si>
    <t>Imobilizado em Curso</t>
  </si>
  <si>
    <t xml:space="preserve">Patrimônio líquido </t>
  </si>
  <si>
    <t>Reserva Legal</t>
  </si>
  <si>
    <t>Reserva de Lucros</t>
  </si>
  <si>
    <t>Ajuste de Exercícios Anteriores</t>
  </si>
  <si>
    <t>Total do Ativo não Circulante</t>
  </si>
  <si>
    <t>Total do patrimônio líquido</t>
  </si>
  <si>
    <t>Balanço Patrimonial  2011</t>
  </si>
  <si>
    <t>Filial</t>
  </si>
  <si>
    <t>Matriz</t>
  </si>
  <si>
    <t>Consolidado</t>
  </si>
  <si>
    <r>
      <t xml:space="preserve"> </t>
    </r>
    <r>
      <rPr>
        <b/>
        <sz val="10"/>
        <color indexed="8"/>
        <rFont val="Calibri"/>
        <family val="2"/>
      </rPr>
      <t>QUADRO 1</t>
    </r>
  </si>
  <si>
    <t>ok</t>
  </si>
  <si>
    <t xml:space="preserve">Consolidado </t>
  </si>
  <si>
    <t>OK</t>
  </si>
  <si>
    <t xml:space="preserve"> </t>
  </si>
  <si>
    <t>em 31 de dezembro de 2011 e 2010</t>
  </si>
  <si>
    <t>em milhares de reais</t>
  </si>
  <si>
    <t>QUADRO 3</t>
  </si>
  <si>
    <t xml:space="preserve">DEMONSTRAÇÃO DAS MUTAÇÕES DO PATRIMÔNIO LÍQUIDO  </t>
  </si>
  <si>
    <t>Reserva de lucros</t>
  </si>
  <si>
    <t xml:space="preserve">Lucros </t>
  </si>
  <si>
    <t>Capital social</t>
  </si>
  <si>
    <t>Reserva legal</t>
  </si>
  <si>
    <t>Total</t>
  </si>
  <si>
    <t>Lucro do Exercicio</t>
  </si>
  <si>
    <t>Ajuste de exercicios anteriores</t>
  </si>
  <si>
    <t>-</t>
  </si>
  <si>
    <t>Acumulados</t>
  </si>
  <si>
    <t>2009 reapresentado</t>
  </si>
  <si>
    <t>2010 reapresentado</t>
  </si>
  <si>
    <t>Distribuição de Lucro:</t>
  </si>
  <si>
    <t xml:space="preserve">  Reserva Legal (5%)</t>
  </si>
  <si>
    <t>Ajuste de exercicios anteriores UBP Salto Pilão</t>
  </si>
  <si>
    <t>reapresentado</t>
  </si>
  <si>
    <t>Lucro líquido do exercício</t>
  </si>
  <si>
    <t>variação</t>
  </si>
  <si>
    <t>Caixa e Equivalentes de Caixa</t>
  </si>
  <si>
    <t>nota</t>
  </si>
  <si>
    <t xml:space="preserve">Intangível </t>
  </si>
  <si>
    <t>Total do Ativo</t>
  </si>
  <si>
    <t>Total do Passivo</t>
  </si>
  <si>
    <t>Ativo</t>
  </si>
  <si>
    <t>Passivo</t>
  </si>
  <si>
    <t>Dividendos (50%)</t>
  </si>
  <si>
    <t>Transferencia para reserva de lucros</t>
  </si>
  <si>
    <t>Compra de Energia Elétrica Parte Relacionada</t>
  </si>
  <si>
    <t>Partes Relacionadas</t>
  </si>
  <si>
    <t xml:space="preserve">Tributos/Folha de Pagamento </t>
  </si>
  <si>
    <t>Credores Diversos/Obrigações Estimadas</t>
  </si>
  <si>
    <t>Retenção Contratual</t>
  </si>
  <si>
    <t>Total do Passivo não Circulante</t>
  </si>
  <si>
    <t>Capital Social</t>
  </si>
  <si>
    <t>Saldo em 31 de dezembro de 2009</t>
  </si>
  <si>
    <t>Ajustes de Exercicios Anteriores</t>
  </si>
  <si>
    <t>Distribuição do Lucro do Exercicio</t>
  </si>
  <si>
    <t>Saldo em 31 de dezembro de 2010</t>
  </si>
  <si>
    <t xml:space="preserve"> Reserva Legal (5%)</t>
  </si>
  <si>
    <t xml:space="preserve"> Dividendo Minimo Obrigatório</t>
  </si>
  <si>
    <t xml:space="preserve"> Transferência para reserva de lucros</t>
  </si>
  <si>
    <t>Saldo em 31 de dezembro de 2011</t>
  </si>
  <si>
    <t xml:space="preserve">  AFAC - SEFAC</t>
  </si>
  <si>
    <t>UBP - Salto Pilão</t>
  </si>
  <si>
    <t>Impostos e contribuições sociais</t>
  </si>
  <si>
    <t>(Em milhares de Reais)</t>
  </si>
  <si>
    <t>Não circulante</t>
  </si>
  <si>
    <t>Total do ativo</t>
  </si>
  <si>
    <t>Total do passivo</t>
  </si>
  <si>
    <t>Nota</t>
  </si>
  <si>
    <t>Caixa e equivalentes caixa</t>
  </si>
  <si>
    <t>Contas a receber</t>
  </si>
  <si>
    <t>4</t>
  </si>
  <si>
    <t>5</t>
  </si>
  <si>
    <t>6</t>
  </si>
  <si>
    <t>Investimentos</t>
  </si>
  <si>
    <t>Imobilizado</t>
  </si>
  <si>
    <t>Intangível</t>
  </si>
  <si>
    <t>Patrimônio líquido</t>
  </si>
  <si>
    <t>Uso do bem público - CESAP</t>
  </si>
  <si>
    <t>Outras contas a pagar</t>
  </si>
  <si>
    <t xml:space="preserve">Outros Créditos </t>
  </si>
  <si>
    <t>Estoque</t>
  </si>
  <si>
    <t>Lucro bruto</t>
  </si>
  <si>
    <t>Resultado antes dos impostos</t>
  </si>
  <si>
    <t xml:space="preserve">  Capital social</t>
  </si>
  <si>
    <t>Fornecedores - Partes relacionadas</t>
  </si>
  <si>
    <t>Partes relacionadas</t>
  </si>
  <si>
    <t>As notas explicativas são parte integrante das demonstrações financeiras</t>
  </si>
  <si>
    <t>Tributos diferidos</t>
  </si>
  <si>
    <t>DME Energética S.A</t>
  </si>
  <si>
    <t>Demonstração do resultado</t>
  </si>
  <si>
    <t>Dividendos complementares</t>
  </si>
  <si>
    <t xml:space="preserve">Balanço patrimonial em 31 de dezembro 2017 e 2016 </t>
  </si>
  <si>
    <t>DME Energética S/A</t>
  </si>
  <si>
    <t>Exercícios findos em 31 de dezembro de 2017 e 2016</t>
  </si>
  <si>
    <t>Receita operacional liquida</t>
  </si>
  <si>
    <t>Gastos operacionais</t>
  </si>
  <si>
    <t>Energia elétrica comprada</t>
  </si>
  <si>
    <t>Despesas operacionais</t>
  </si>
  <si>
    <t>Despesas gerais e administrativas</t>
  </si>
  <si>
    <t>Outras despesas operacionais</t>
  </si>
  <si>
    <t>Resultado de equivalência patrimonial</t>
  </si>
  <si>
    <t>Resultado antes das receitas (despesas)</t>
  </si>
  <si>
    <t>financeiras líquidas e impostos</t>
  </si>
  <si>
    <t>Receitas financeiras</t>
  </si>
  <si>
    <t>Despesas financeiras</t>
  </si>
  <si>
    <t>Resultado financeiro líquido</t>
  </si>
  <si>
    <t>Contribuição social</t>
  </si>
  <si>
    <t>Imposto de renda</t>
  </si>
  <si>
    <t>Contribuição social diferida</t>
  </si>
  <si>
    <t>Imposto de renda diferido</t>
  </si>
  <si>
    <t>Lucro liquido do exercício</t>
  </si>
  <si>
    <t>As notas explicativas são parte integrante das demonstrações financeiras.</t>
  </si>
  <si>
    <t xml:space="preserve">DME Energética S.A. </t>
  </si>
  <si>
    <t>Demonstrações das mutações do patrimônio líquido</t>
  </si>
  <si>
    <t xml:space="preserve">Exercícios findos em 31 de dezembro de 2017 e  2016 </t>
  </si>
  <si>
    <t>Capital</t>
  </si>
  <si>
    <t>Reserva</t>
  </si>
  <si>
    <t>Lucros</t>
  </si>
  <si>
    <t>Dividendo</t>
  </si>
  <si>
    <t>social</t>
  </si>
  <si>
    <t>legal</t>
  </si>
  <si>
    <t>retidos</t>
  </si>
  <si>
    <t>complementar</t>
  </si>
  <si>
    <t>acumulados</t>
  </si>
  <si>
    <t xml:space="preserve">Saldos em 31 de dezembro de 2015 </t>
  </si>
  <si>
    <t>Aumento do capital social</t>
  </si>
  <si>
    <t>Recursos das consorciadas - CESAP</t>
  </si>
  <si>
    <t>Destinação do lucro líquido do exercício:</t>
  </si>
  <si>
    <t>Reserva legal (5%)</t>
  </si>
  <si>
    <t xml:space="preserve">   Juros Sobre o Capital Próprio</t>
  </si>
  <si>
    <t>Dividendos complementar (25%)</t>
  </si>
  <si>
    <t>Transferência para reserva de lucros</t>
  </si>
  <si>
    <t>Saldos em 31 de dezembro de 2016</t>
  </si>
  <si>
    <t>Dividendos relativos a resultados acumulados</t>
  </si>
  <si>
    <t>Dividendos mínimo obrigatório (25%)</t>
  </si>
  <si>
    <t>Outros</t>
  </si>
  <si>
    <t>Saldos em 31 de dezembro de 2017</t>
  </si>
  <si>
    <t>DME Energética S.A.</t>
  </si>
  <si>
    <t>Demonstração do resultado abrangente</t>
  </si>
  <si>
    <t>(Em milhares de reais)</t>
  </si>
  <si>
    <t xml:space="preserve">Resultado abrangente total </t>
  </si>
  <si>
    <t xml:space="preserve">DME Energética S.A. - DMEE </t>
  </si>
  <si>
    <t>Demonstrações dos fluxos de caixa</t>
  </si>
  <si>
    <t xml:space="preserve">Exercícios findos em  31 de Dezembro DE 2017 </t>
  </si>
  <si>
    <t xml:space="preserve">Demonstrações dos Fluxos de caixa </t>
  </si>
  <si>
    <t>Fluxos de caixa das atividades operacionais</t>
  </si>
  <si>
    <t>Ajustes para conciliar o resultado às disponibilidades geradas</t>
  </si>
  <si>
    <t>Resultado com equivalência patrimonial</t>
  </si>
  <si>
    <t>Valor residual de ativo imobilizado baixado</t>
  </si>
  <si>
    <t>Impostos Diferidos</t>
  </si>
  <si>
    <t>Depreciação/Amortização</t>
  </si>
  <si>
    <t>Variações patrimoniais</t>
  </si>
  <si>
    <t>Redução (aumento)  nos demais ativos circulantes e não circulantes</t>
  </si>
  <si>
    <t>(Redução) aumento nas compra de energia elétrica - BAESA/SEFAC</t>
  </si>
  <si>
    <t>Caixa Oriundo das Operações</t>
  </si>
  <si>
    <t>Total das disponibilidades líquidas geradas pelas atividades operacionais</t>
  </si>
  <si>
    <t>Fluxos de caixa das atividades de investimentos</t>
  </si>
  <si>
    <t>Dividendos recebidos</t>
  </si>
  <si>
    <t>Caixa líquido utilizado nas atividades de investimento</t>
  </si>
  <si>
    <t>Fluxos de caixa das atividades de financiamentos</t>
  </si>
  <si>
    <t>Operações com coligadas e controladas</t>
  </si>
  <si>
    <t>Juros sobre o capital próprio</t>
  </si>
  <si>
    <t xml:space="preserve">Dividendos pagos </t>
  </si>
  <si>
    <t xml:space="preserve"> de investimentos e de financiamentos</t>
  </si>
  <si>
    <t>A variação líquida de caixa é assim demonstrada</t>
  </si>
  <si>
    <t>Disponibilidades</t>
  </si>
  <si>
    <t>No fim do exercício</t>
  </si>
  <si>
    <t>No início do exercício</t>
  </si>
  <si>
    <t>Aumento (redução) de caixa e equivalente de caixa</t>
  </si>
  <si>
    <t>Redução no contas a receber</t>
  </si>
  <si>
    <t>Aumento (redução) no imposto de renda e contribuição social</t>
  </si>
  <si>
    <t>(Redução) aumento nos demais passivos circulantes e não circulantes</t>
  </si>
  <si>
    <t>Adições em imobilizado/ intangível</t>
  </si>
  <si>
    <t>Dividendos intercalares</t>
  </si>
  <si>
    <t>Caixa líquido utilizado nas atividades de financiamentos</t>
  </si>
  <si>
    <t xml:space="preserve">Caixa liquido gerado pelas atividades operacionais, </t>
  </si>
  <si>
    <t>Demonstrações do valor adicionado</t>
  </si>
  <si>
    <t xml:space="preserve">Exercícios findos em 31 de dezembro </t>
  </si>
  <si>
    <t>Receitas</t>
  </si>
  <si>
    <t xml:space="preserve">   Venda de energia e serviços</t>
  </si>
  <si>
    <t xml:space="preserve">   Outros resultados</t>
  </si>
  <si>
    <t>(-) Insumos adquiridos de terceiros</t>
  </si>
  <si>
    <t xml:space="preserve">      Insumos consumidos - Custos energia comprada</t>
  </si>
  <si>
    <t xml:space="preserve">      Material e serviços de terceiros </t>
  </si>
  <si>
    <t>Valor adicionado bruto</t>
  </si>
  <si>
    <t>(=) Valor adicionado líquido</t>
  </si>
  <si>
    <t>(+) Valor adicionado transferido</t>
  </si>
  <si>
    <t xml:space="preserve">       Receitas financeiras</t>
  </si>
  <si>
    <t xml:space="preserve">       Resultado da equivalência patrimonial</t>
  </si>
  <si>
    <t>Valor adicionado total a distribuir</t>
  </si>
  <si>
    <t>Distribuição do valor adicionado</t>
  </si>
  <si>
    <t>Pessoal</t>
  </si>
  <si>
    <t xml:space="preserve">  Remunerações</t>
  </si>
  <si>
    <t xml:space="preserve">  Encargos sociais FGTS</t>
  </si>
  <si>
    <t xml:space="preserve">  Entidade de previdência privada</t>
  </si>
  <si>
    <t xml:space="preserve">  Auxílio-alimentação</t>
  </si>
  <si>
    <t xml:space="preserve">  Provisões de férias e 13º</t>
  </si>
  <si>
    <t xml:space="preserve">  Convênio assistencial e outros benefícios</t>
  </si>
  <si>
    <t xml:space="preserve">  Participação nos resultados</t>
  </si>
  <si>
    <t xml:space="preserve">  Outros</t>
  </si>
  <si>
    <t>Governo</t>
  </si>
  <si>
    <t xml:space="preserve">   INSS (sobre folha de pagamento)</t>
  </si>
  <si>
    <t xml:space="preserve">   IRPJ/CSLL</t>
  </si>
  <si>
    <t xml:space="preserve">  PIS/COFINS e Outros</t>
  </si>
  <si>
    <t xml:space="preserve">   Outros</t>
  </si>
  <si>
    <t>Acionistas</t>
  </si>
  <si>
    <t xml:space="preserve">   Resultados retidos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</si>
</sst>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\-??_);_(@_)"/>
    <numFmt numFmtId="167" formatCode="_(* #,##0_);_(* \(#,##0\);_(* \-??_);_(@_)"/>
    <numFmt numFmtId="168" formatCode="_(* #,##0_);_(* \(#,##0\);_(* &quot;-&quot;??_);_(@_)"/>
    <numFmt numFmtId="169" formatCode="0_);\(0\)"/>
    <numFmt numFmtId="170" formatCode="_(* ###0_);_(* \(#,##0\);_(* &quot;-&quot;_);_(@_)"/>
    <numFmt numFmtId="171" formatCode="_(* #,##0_);_(* \(#,##0\);_(&quot;-&quot;_);_(@_)"/>
    <numFmt numFmtId="172" formatCode="_ * #,##0_ ;_ * \-#,##0_ ;_ * &quot;-&quot;_ ;_ @_ "/>
    <numFmt numFmtId="173" formatCode="_ * #,##0.00_ ;_ * \-#,##0.00_ ;_ * &quot;-&quot;??_ ;_ @_ "/>
    <numFmt numFmtId="174" formatCode="#,##0.00;\(#,##0.00\)"/>
    <numFmt numFmtId="175" formatCode="&quot;$&quot;#,##0.00;\(&quot;$&quot;#,##0.00\)"/>
    <numFmt numFmtId="176" formatCode="###0.0%;\(###0.0%\)"/>
    <numFmt numFmtId="177" formatCode="_ &quot;SFr.&quot;\ * #,##0_ ;_ &quot;SFr.&quot;\ * \-#,##0_ ;_ &quot;SFr.&quot;\ * &quot;-&quot;_ ;_ @_ "/>
    <numFmt numFmtId="178" formatCode="_ &quot;SFr.&quot;\ * #,##0.00_ ;_ &quot;SFr.&quot;\ * \-#,##0.00_ ;_ &quot;SFr.&quot;\ * &quot;-&quot;??_ ;_ @_ "/>
    <numFmt numFmtId="179" formatCode="#,##0;\(#,##0\)"/>
  </numFmts>
  <fonts count="5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color indexed="10"/>
      <name val="Trebuchet MS"/>
      <family val="2"/>
    </font>
    <font>
      <b/>
      <sz val="10"/>
      <color indexed="8"/>
      <name val="Calibri"/>
      <family val="2"/>
    </font>
    <font>
      <sz val="11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sz val="9"/>
      <name val="Trebuchet MS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rgb="FFFF0000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11"/>
      <color rgb="FFFF0000"/>
      <name val="Trebuchet MS"/>
      <family val="2"/>
    </font>
    <font>
      <sz val="11"/>
      <color theme="1"/>
      <name val="Trebuchet MS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1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</font>
    <font>
      <b/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sz val="11"/>
      <color indexed="8"/>
      <name val="Calibri"/>
      <family val="2"/>
    </font>
    <font>
      <sz val="9"/>
      <color theme="1"/>
      <name val="Univers 57 Condensed"/>
      <family val="2"/>
    </font>
    <font>
      <sz val="10"/>
      <color indexed="0"/>
      <name val="Arial"/>
      <family val="2"/>
    </font>
    <font>
      <sz val="10"/>
      <name val="Geneva"/>
      <family val="2"/>
    </font>
    <font>
      <sz val="10"/>
      <name val="Courier"/>
      <family val="3"/>
    </font>
    <font>
      <i/>
      <sz val="10"/>
      <color indexed="2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Times New Roman"/>
      <family val="1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2"/>
      <name val="Calibri"/>
      <family val="2"/>
      <scheme val="minor"/>
    </font>
    <font>
      <b/>
      <i/>
      <sz val="12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5">
    <xf numFmtId="0" fontId="0" fillId="0" borderId="0"/>
    <xf numFmtId="166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5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6" fillId="0" borderId="0"/>
    <xf numFmtId="165" fontId="1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5" fontId="46" fillId="0" borderId="0"/>
    <xf numFmtId="176" fontId="46" fillId="0" borderId="0"/>
    <xf numFmtId="0" fontId="16" fillId="0" borderId="0"/>
    <xf numFmtId="0" fontId="1" fillId="0" borderId="0"/>
    <xf numFmtId="37" fontId="47" fillId="0" borderId="0"/>
    <xf numFmtId="0" fontId="46" fillId="0" borderId="0"/>
    <xf numFmtId="0" fontId="46" fillId="0" borderId="0"/>
    <xf numFmtId="0" fontId="1" fillId="0" borderId="0"/>
    <xf numFmtId="9" fontId="1" fillId="0" borderId="0" applyFont="0" applyFill="0" applyBorder="0" applyAlignment="0" applyProtection="0"/>
    <xf numFmtId="0" fontId="48" fillId="0" borderId="0"/>
    <xf numFmtId="0" fontId="48" fillId="0" borderId="0">
      <alignment vertical="center"/>
    </xf>
    <xf numFmtId="0" fontId="46" fillId="0" borderId="0"/>
    <xf numFmtId="0" fontId="49" fillId="0" borderId="0"/>
    <xf numFmtId="0" fontId="50" fillId="3" borderId="0"/>
    <xf numFmtId="0" fontId="50" fillId="0" borderId="0"/>
    <xf numFmtId="0" fontId="51" fillId="0" borderId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</cellStyleXfs>
  <cellXfs count="288">
    <xf numFmtId="0" fontId="0" fillId="0" borderId="0" xfId="0"/>
    <xf numFmtId="166" fontId="5" fillId="0" borderId="0" xfId="9" applyFont="1" applyFill="1" applyBorder="1" applyAlignment="1"/>
    <xf numFmtId="166" fontId="5" fillId="0" borderId="0" xfId="9" applyFont="1" applyFill="1" applyAlignment="1"/>
    <xf numFmtId="166" fontId="4" fillId="0" borderId="0" xfId="9" applyFont="1" applyFill="1" applyAlignment="1"/>
    <xf numFmtId="0" fontId="2" fillId="0" borderId="0" xfId="0" applyFont="1" applyFill="1" applyBorder="1" applyAlignment="1">
      <alignment horizontal="right"/>
    </xf>
    <xf numFmtId="167" fontId="2" fillId="0" borderId="0" xfId="8" applyNumberFormat="1" applyFont="1" applyFill="1" applyAlignment="1"/>
    <xf numFmtId="167" fontId="2" fillId="0" borderId="0" xfId="8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167" fontId="2" fillId="0" borderId="0" xfId="9" applyNumberFormat="1" applyFont="1" applyFill="1" applyBorder="1" applyAlignment="1">
      <alignment horizontal="right"/>
    </xf>
    <xf numFmtId="167" fontId="2" fillId="0" borderId="0" xfId="9" applyNumberFormat="1" applyFont="1" applyFill="1" applyBorder="1" applyAlignment="1"/>
    <xf numFmtId="0" fontId="3" fillId="0" borderId="0" xfId="2" applyFont="1" applyFill="1"/>
    <xf numFmtId="37" fontId="2" fillId="0" borderId="0" xfId="8" applyNumberFormat="1" applyFont="1" applyFill="1" applyAlignment="1"/>
    <xf numFmtId="37" fontId="2" fillId="0" borderId="0" xfId="8" applyNumberFormat="1" applyFont="1" applyFill="1" applyBorder="1" applyAlignment="1"/>
    <xf numFmtId="37" fontId="2" fillId="0" borderId="1" xfId="8" applyNumberFormat="1" applyFont="1" applyFill="1" applyBorder="1" applyAlignment="1"/>
    <xf numFmtId="37" fontId="18" fillId="0" borderId="0" xfId="8" applyNumberFormat="1" applyFont="1" applyFill="1" applyAlignment="1"/>
    <xf numFmtId="37" fontId="18" fillId="0" borderId="1" xfId="8" applyNumberFormat="1" applyFont="1" applyFill="1" applyBorder="1" applyAlignment="1"/>
    <xf numFmtId="37" fontId="2" fillId="0" borderId="2" xfId="8" applyNumberFormat="1" applyFont="1" applyFill="1" applyBorder="1" applyAlignment="1"/>
    <xf numFmtId="0" fontId="19" fillId="0" borderId="0" xfId="0" applyFont="1" applyFill="1"/>
    <xf numFmtId="0" fontId="20" fillId="0" borderId="0" xfId="0" applyFont="1" applyFill="1"/>
    <xf numFmtId="0" fontId="21" fillId="0" borderId="0" xfId="2" applyFont="1" applyFill="1"/>
    <xf numFmtId="166" fontId="6" fillId="0" borderId="0" xfId="9" applyFont="1" applyFill="1" applyAlignment="1"/>
    <xf numFmtId="166" fontId="9" fillId="0" borderId="0" xfId="9" applyFont="1" applyFill="1" applyBorder="1" applyAlignment="1"/>
    <xf numFmtId="14" fontId="9" fillId="0" borderId="0" xfId="9" applyNumberFormat="1" applyFont="1" applyFill="1" applyAlignment="1"/>
    <xf numFmtId="0" fontId="10" fillId="0" borderId="0" xfId="2" applyFont="1" applyFill="1"/>
    <xf numFmtId="166" fontId="9" fillId="0" borderId="0" xfId="9" applyFont="1" applyFill="1" applyAlignment="1"/>
    <xf numFmtId="37" fontId="18" fillId="0" borderId="0" xfId="8" applyNumberFormat="1" applyFont="1" applyFill="1" applyBorder="1" applyAlignment="1"/>
    <xf numFmtId="167" fontId="19" fillId="0" borderId="0" xfId="0" applyNumberFormat="1" applyFont="1" applyFill="1"/>
    <xf numFmtId="166" fontId="11" fillId="0" borderId="0" xfId="9" applyFont="1" applyFill="1" applyAlignment="1"/>
    <xf numFmtId="0" fontId="22" fillId="0" borderId="0" xfId="0" applyFont="1" applyFill="1"/>
    <xf numFmtId="166" fontId="11" fillId="0" borderId="0" xfId="9" applyFont="1" applyFill="1" applyAlignment="1">
      <alignment horizontal="right"/>
    </xf>
    <xf numFmtId="166" fontId="12" fillId="0" borderId="0" xfId="9" applyFont="1" applyFill="1" applyAlignment="1">
      <alignment horizontal="center"/>
    </xf>
    <xf numFmtId="0" fontId="13" fillId="0" borderId="0" xfId="2" applyFont="1" applyFill="1"/>
    <xf numFmtId="0" fontId="12" fillId="0" borderId="0" xfId="2" applyFont="1" applyFill="1" applyAlignment="1">
      <alignment horizontal="center"/>
    </xf>
    <xf numFmtId="0" fontId="12" fillId="0" borderId="0" xfId="2" applyFont="1" applyFill="1"/>
    <xf numFmtId="0" fontId="23" fillId="0" borderId="0" xfId="2" applyFont="1" applyFill="1" applyAlignment="1">
      <alignment horizontal="center"/>
    </xf>
    <xf numFmtId="0" fontId="11" fillId="0" borderId="1" xfId="9" applyNumberFormat="1" applyFont="1" applyFill="1" applyBorder="1" applyAlignment="1">
      <alignment horizontal="center"/>
    </xf>
    <xf numFmtId="14" fontId="11" fillId="0" borderId="1" xfId="9" applyNumberFormat="1" applyFont="1" applyFill="1" applyBorder="1" applyAlignment="1">
      <alignment horizontal="center"/>
    </xf>
    <xf numFmtId="14" fontId="11" fillId="0" borderId="0" xfId="9" applyNumberFormat="1" applyFont="1" applyFill="1" applyBorder="1" applyAlignment="1">
      <alignment horizontal="center"/>
    </xf>
    <xf numFmtId="166" fontId="2" fillId="0" borderId="0" xfId="9" applyFont="1" applyFill="1" applyBorder="1" applyAlignment="1"/>
    <xf numFmtId="0" fontId="24" fillId="0" borderId="1" xfId="9" applyNumberFormat="1" applyFont="1" applyFill="1" applyBorder="1" applyAlignment="1">
      <alignment horizontal="center"/>
    </xf>
    <xf numFmtId="1" fontId="12" fillId="0" borderId="1" xfId="9" applyNumberFormat="1" applyFont="1" applyFill="1" applyBorder="1" applyAlignment="1">
      <alignment horizontal="center"/>
    </xf>
    <xf numFmtId="14" fontId="12" fillId="0" borderId="1" xfId="9" applyNumberFormat="1" applyFont="1" applyFill="1" applyBorder="1" applyAlignment="1">
      <alignment horizontal="center"/>
    </xf>
    <xf numFmtId="166" fontId="2" fillId="0" borderId="0" xfId="9" applyFont="1" applyFill="1" applyAlignment="1">
      <alignment horizontal="right"/>
    </xf>
    <xf numFmtId="166" fontId="2" fillId="0" borderId="0" xfId="9" applyFont="1" applyFill="1" applyBorder="1" applyAlignment="1">
      <alignment horizontal="center"/>
    </xf>
    <xf numFmtId="166" fontId="18" fillId="0" borderId="0" xfId="9" applyFont="1" applyFill="1" applyAlignment="1">
      <alignment horizontal="right"/>
    </xf>
    <xf numFmtId="166" fontId="2" fillId="0" borderId="0" xfId="9" applyFont="1" applyFill="1" applyBorder="1" applyAlignment="1" applyProtection="1">
      <alignment horizontal="right"/>
    </xf>
    <xf numFmtId="166" fontId="18" fillId="0" borderId="0" xfId="9" applyFont="1" applyFill="1" applyBorder="1" applyAlignment="1" applyProtection="1">
      <alignment horizontal="right"/>
    </xf>
    <xf numFmtId="167" fontId="2" fillId="0" borderId="0" xfId="9" applyNumberFormat="1" applyFont="1" applyFill="1" applyBorder="1" applyAlignment="1">
      <alignment horizontal="center" vertical="center"/>
    </xf>
    <xf numFmtId="166" fontId="2" fillId="0" borderId="0" xfId="9" applyFont="1" applyFill="1" applyBorder="1" applyAlignment="1">
      <alignment horizontal="right"/>
    </xf>
    <xf numFmtId="166" fontId="18" fillId="0" borderId="0" xfId="9" applyFont="1" applyFill="1" applyBorder="1" applyAlignment="1">
      <alignment horizontal="right"/>
    </xf>
    <xf numFmtId="0" fontId="2" fillId="0" borderId="0" xfId="9" applyNumberFormat="1" applyFont="1" applyFill="1" applyBorder="1" applyAlignment="1">
      <alignment horizontal="center"/>
    </xf>
    <xf numFmtId="167" fontId="2" fillId="0" borderId="1" xfId="9" applyNumberFormat="1" applyFont="1" applyFill="1" applyBorder="1" applyAlignment="1"/>
    <xf numFmtId="166" fontId="2" fillId="0" borderId="0" xfId="9" applyFont="1" applyFill="1" applyAlignment="1"/>
    <xf numFmtId="167" fontId="2" fillId="0" borderId="0" xfId="9" applyNumberFormat="1" applyFont="1" applyFill="1" applyAlignment="1"/>
    <xf numFmtId="166" fontId="2" fillId="0" borderId="1" xfId="9" applyFont="1" applyFill="1" applyBorder="1" applyAlignment="1"/>
    <xf numFmtId="166" fontId="2" fillId="0" borderId="1" xfId="9" applyFont="1" applyFill="1" applyBorder="1" applyAlignment="1">
      <alignment horizontal="right"/>
    </xf>
    <xf numFmtId="166" fontId="24" fillId="0" borderId="0" xfId="9" applyFont="1" applyFill="1" applyBorder="1" applyAlignment="1">
      <alignment horizontal="right"/>
    </xf>
    <xf numFmtId="167" fontId="11" fillId="0" borderId="0" xfId="9" applyNumberFormat="1" applyFont="1" applyFill="1" applyBorder="1" applyAlignment="1">
      <alignment horizontal="right"/>
    </xf>
    <xf numFmtId="167" fontId="11" fillId="0" borderId="0" xfId="9" applyNumberFormat="1" applyFont="1" applyFill="1" applyBorder="1" applyAlignment="1"/>
    <xf numFmtId="166" fontId="11" fillId="0" borderId="0" xfId="9" applyFont="1" applyFill="1" applyBorder="1" applyAlignment="1">
      <alignment horizontal="right"/>
    </xf>
    <xf numFmtId="167" fontId="11" fillId="0" borderId="0" xfId="9" applyNumberFormat="1" applyFont="1" applyFill="1" applyAlignment="1"/>
    <xf numFmtId="166" fontId="2" fillId="0" borderId="0" xfId="9" quotePrefix="1" applyFont="1" applyFill="1" applyBorder="1" applyAlignment="1"/>
    <xf numFmtId="166" fontId="2" fillId="0" borderId="1" xfId="9" applyFont="1" applyFill="1" applyBorder="1" applyAlignment="1" applyProtection="1">
      <alignment horizontal="right"/>
    </xf>
    <xf numFmtId="167" fontId="13" fillId="0" borderId="0" xfId="2" applyNumberFormat="1" applyFont="1" applyFill="1"/>
    <xf numFmtId="166" fontId="11" fillId="0" borderId="2" xfId="9" applyFont="1" applyFill="1" applyBorder="1" applyAlignment="1" applyProtection="1">
      <alignment horizontal="right"/>
    </xf>
    <xf numFmtId="167" fontId="11" fillId="0" borderId="0" xfId="9" applyNumberFormat="1" applyFont="1" applyFill="1" applyBorder="1" applyAlignment="1" applyProtection="1">
      <alignment horizontal="right"/>
    </xf>
    <xf numFmtId="166" fontId="11" fillId="0" borderId="0" xfId="9" applyFont="1" applyFill="1" applyBorder="1" applyAlignment="1" applyProtection="1">
      <alignment horizontal="right"/>
    </xf>
    <xf numFmtId="167" fontId="2" fillId="0" borderId="0" xfId="9" applyNumberFormat="1" applyFont="1" applyFill="1" applyBorder="1" applyAlignment="1">
      <alignment vertical="center"/>
    </xf>
    <xf numFmtId="166" fontId="18" fillId="0" borderId="0" xfId="9" applyFont="1" applyFill="1" applyBorder="1" applyAlignment="1"/>
    <xf numFmtId="166" fontId="11" fillId="0" borderId="0" xfId="9" applyFont="1" applyFill="1" applyBorder="1" applyAlignment="1"/>
    <xf numFmtId="0" fontId="2" fillId="0" borderId="0" xfId="9" applyNumberFormat="1" applyFont="1" applyFill="1" applyAlignment="1">
      <alignment horizontal="center"/>
    </xf>
    <xf numFmtId="167" fontId="2" fillId="0" borderId="2" xfId="9" applyNumberFormat="1" applyFont="1" applyFill="1" applyBorder="1" applyAlignment="1"/>
    <xf numFmtId="166" fontId="2" fillId="0" borderId="0" xfId="9" applyNumberFormat="1" applyFont="1" applyFill="1" applyAlignment="1">
      <alignment horizontal="right"/>
    </xf>
    <xf numFmtId="167" fontId="2" fillId="0" borderId="0" xfId="9" applyNumberFormat="1" applyFont="1" applyFill="1" applyAlignment="1">
      <alignment horizontal="right"/>
    </xf>
    <xf numFmtId="165" fontId="13" fillId="0" borderId="0" xfId="8" applyFont="1" applyFill="1"/>
    <xf numFmtId="0" fontId="13" fillId="0" borderId="0" xfId="2" applyFont="1" applyFill="1" applyBorder="1"/>
    <xf numFmtId="167" fontId="22" fillId="0" borderId="0" xfId="0" applyNumberFormat="1" applyFont="1" applyFill="1"/>
    <xf numFmtId="166" fontId="24" fillId="0" borderId="2" xfId="9" applyFont="1" applyFill="1" applyBorder="1" applyAlignment="1" applyProtection="1">
      <alignment horizontal="right"/>
    </xf>
    <xf numFmtId="167" fontId="11" fillId="0" borderId="2" xfId="9" applyNumberFormat="1" applyFont="1" applyFill="1" applyBorder="1" applyAlignment="1" applyProtection="1">
      <alignment horizontal="right"/>
    </xf>
    <xf numFmtId="166" fontId="24" fillId="0" borderId="0" xfId="9" applyFont="1" applyFill="1" applyBorder="1" applyAlignment="1" applyProtection="1">
      <alignment horizontal="right"/>
    </xf>
    <xf numFmtId="0" fontId="25" fillId="0" borderId="0" xfId="0" applyFont="1" applyFill="1"/>
    <xf numFmtId="0" fontId="26" fillId="0" borderId="0" xfId="0" applyFont="1" applyFill="1"/>
    <xf numFmtId="166" fontId="11" fillId="0" borderId="0" xfId="9" applyFont="1" applyFill="1" applyAlignment="1">
      <alignment horizontal="center"/>
    </xf>
    <xf numFmtId="0" fontId="2" fillId="0" borderId="0" xfId="2" applyFont="1" applyFill="1"/>
    <xf numFmtId="0" fontId="11" fillId="0" borderId="0" xfId="2" applyFont="1" applyFill="1" applyAlignment="1">
      <alignment horizontal="center"/>
    </xf>
    <xf numFmtId="166" fontId="11" fillId="0" borderId="0" xfId="9" applyFont="1" applyFill="1" applyBorder="1" applyAlignment="1">
      <alignment horizontal="center"/>
    </xf>
    <xf numFmtId="166" fontId="24" fillId="0" borderId="0" xfId="9" applyFont="1" applyFill="1" applyBorder="1" applyAlignment="1">
      <alignment horizontal="center"/>
    </xf>
    <xf numFmtId="1" fontId="11" fillId="0" borderId="1" xfId="9" applyNumberFormat="1" applyFont="1" applyFill="1" applyBorder="1" applyAlignment="1">
      <alignment horizontal="center"/>
    </xf>
    <xf numFmtId="166" fontId="24" fillId="0" borderId="0" xfId="9" applyFont="1" applyFill="1" applyBorder="1" applyAlignment="1"/>
    <xf numFmtId="166" fontId="24" fillId="0" borderId="0" xfId="9" applyFont="1" applyFill="1" applyAlignment="1">
      <alignment horizontal="right"/>
    </xf>
    <xf numFmtId="167" fontId="11" fillId="0" borderId="0" xfId="9" applyNumberFormat="1" applyFont="1" applyFill="1" applyAlignment="1">
      <alignment horizontal="right"/>
    </xf>
    <xf numFmtId="166" fontId="11" fillId="0" borderId="1" xfId="9" applyFont="1" applyFill="1" applyBorder="1" applyAlignment="1"/>
    <xf numFmtId="166" fontId="18" fillId="0" borderId="0" xfId="9" applyFont="1" applyFill="1" applyAlignment="1"/>
    <xf numFmtId="40" fontId="2" fillId="0" borderId="0" xfId="9" applyNumberFormat="1" applyFont="1" applyFill="1" applyBorder="1" applyAlignment="1">
      <alignment horizontal="right"/>
    </xf>
    <xf numFmtId="43" fontId="2" fillId="0" borderId="0" xfId="9" applyNumberFormat="1" applyFont="1" applyFill="1" applyBorder="1" applyAlignment="1">
      <alignment horizontal="right"/>
    </xf>
    <xf numFmtId="43" fontId="18" fillId="0" borderId="0" xfId="9" applyNumberFormat="1" applyFont="1" applyFill="1" applyBorder="1" applyAlignment="1">
      <alignment horizontal="right"/>
    </xf>
    <xf numFmtId="167" fontId="2" fillId="0" borderId="1" xfId="9" applyNumberFormat="1" applyFont="1" applyFill="1" applyBorder="1" applyAlignment="1">
      <alignment horizontal="right"/>
    </xf>
    <xf numFmtId="39" fontId="18" fillId="0" borderId="0" xfId="9" applyNumberFormat="1" applyFont="1" applyFill="1" applyBorder="1" applyAlignment="1">
      <alignment horizontal="right"/>
    </xf>
    <xf numFmtId="166" fontId="18" fillId="0" borderId="3" xfId="9" applyFont="1" applyFill="1" applyBorder="1" applyAlignment="1">
      <alignment horizontal="right"/>
    </xf>
    <xf numFmtId="166" fontId="2" fillId="0" borderId="3" xfId="9" applyFont="1" applyFill="1" applyBorder="1" applyAlignment="1">
      <alignment horizontal="right"/>
    </xf>
    <xf numFmtId="166" fontId="2" fillId="0" borderId="3" xfId="9" applyFont="1" applyFill="1" applyBorder="1" applyAlignment="1"/>
    <xf numFmtId="4" fontId="2" fillId="0" borderId="0" xfId="2" applyNumberFormat="1" applyFont="1" applyFill="1"/>
    <xf numFmtId="0" fontId="11" fillId="0" borderId="0" xfId="2" applyFont="1" applyFill="1"/>
    <xf numFmtId="167" fontId="2" fillId="0" borderId="0" xfId="2" applyNumberFormat="1" applyFont="1" applyFill="1"/>
    <xf numFmtId="166" fontId="25" fillId="0" borderId="0" xfId="0" applyNumberFormat="1" applyFont="1" applyFill="1"/>
    <xf numFmtId="166" fontId="24" fillId="0" borderId="4" xfId="9" applyFont="1" applyFill="1" applyBorder="1" applyAlignment="1" applyProtection="1">
      <alignment horizontal="right"/>
    </xf>
    <xf numFmtId="0" fontId="2" fillId="0" borderId="0" xfId="9" applyNumberFormat="1" applyFont="1" applyFill="1" applyBorder="1" applyAlignment="1">
      <alignment horizontal="center" vertical="center"/>
    </xf>
    <xf numFmtId="166" fontId="2" fillId="0" borderId="0" xfId="9" applyFont="1" applyFill="1" applyBorder="1" applyAlignment="1">
      <alignment horizontal="center" vertical="center"/>
    </xf>
    <xf numFmtId="167" fontId="2" fillId="0" borderId="0" xfId="9" applyNumberFormat="1" applyFont="1" applyFill="1" applyBorder="1" applyAlignment="1">
      <alignment horizontal="center"/>
    </xf>
    <xf numFmtId="0" fontId="2" fillId="0" borderId="0" xfId="9" applyNumberFormat="1" applyFont="1" applyFill="1" applyAlignment="1">
      <alignment horizontal="right"/>
    </xf>
    <xf numFmtId="0" fontId="2" fillId="0" borderId="0" xfId="9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/>
    <xf numFmtId="3" fontId="19" fillId="0" borderId="0" xfId="0" applyNumberFormat="1" applyFont="1" applyFill="1"/>
    <xf numFmtId="3" fontId="11" fillId="0" borderId="0" xfId="9" applyNumberFormat="1" applyFont="1" applyFill="1" applyAlignment="1"/>
    <xf numFmtId="3" fontId="12" fillId="0" borderId="0" xfId="9" applyNumberFormat="1" applyFont="1" applyFill="1" applyAlignment="1">
      <alignment horizontal="center"/>
    </xf>
    <xf numFmtId="3" fontId="12" fillId="0" borderId="0" xfId="2" applyNumberFormat="1" applyFont="1" applyFill="1" applyAlignment="1">
      <alignment horizontal="center"/>
    </xf>
    <xf numFmtId="3" fontId="12" fillId="0" borderId="1" xfId="9" applyNumberFormat="1" applyFont="1" applyFill="1" applyBorder="1" applyAlignment="1">
      <alignment horizontal="center"/>
    </xf>
    <xf numFmtId="3" fontId="2" fillId="0" borderId="0" xfId="9" applyNumberFormat="1" applyFont="1" applyFill="1" applyBorder="1" applyAlignment="1">
      <alignment horizontal="center"/>
    </xf>
    <xf numFmtId="3" fontId="2" fillId="0" borderId="0" xfId="9" applyNumberFormat="1" applyFont="1" applyFill="1" applyBorder="1" applyAlignment="1"/>
    <xf numFmtId="3" fontId="3" fillId="0" borderId="0" xfId="2" applyNumberFormat="1" applyFont="1" applyFill="1"/>
    <xf numFmtId="168" fontId="2" fillId="0" borderId="0" xfId="8" applyNumberFormat="1" applyFont="1" applyFill="1" applyAlignment="1"/>
    <xf numFmtId="167" fontId="5" fillId="0" borderId="0" xfId="9" applyNumberFormat="1" applyFont="1" applyFill="1" applyAlignment="1"/>
    <xf numFmtId="167" fontId="11" fillId="0" borderId="2" xfId="9" applyNumberFormat="1" applyFont="1" applyFill="1" applyBorder="1" applyAlignment="1"/>
    <xf numFmtId="0" fontId="11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8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horizontal="left" indent="1"/>
    </xf>
    <xf numFmtId="0" fontId="8" fillId="0" borderId="0" xfId="0" applyFont="1" applyFill="1" applyAlignment="1"/>
    <xf numFmtId="0" fontId="27" fillId="0" borderId="0" xfId="0" applyFont="1" applyFill="1" applyAlignment="1"/>
    <xf numFmtId="0" fontId="17" fillId="0" borderId="0" xfId="0" applyFont="1" applyFill="1"/>
    <xf numFmtId="3" fontId="11" fillId="0" borderId="0" xfId="9" applyNumberFormat="1" applyFont="1" applyFill="1" applyBorder="1" applyAlignment="1"/>
    <xf numFmtId="0" fontId="14" fillId="0" borderId="0" xfId="2" applyFont="1" applyFill="1"/>
    <xf numFmtId="168" fontId="11" fillId="0" borderId="0" xfId="8" applyNumberFormat="1" applyFont="1" applyFill="1" applyAlignment="1"/>
    <xf numFmtId="0" fontId="15" fillId="0" borderId="0" xfId="2" applyFont="1" applyFill="1"/>
    <xf numFmtId="168" fontId="2" fillId="0" borderId="0" xfId="8" applyNumberFormat="1" applyFont="1" applyFill="1" applyBorder="1" applyAlignment="1"/>
    <xf numFmtId="0" fontId="31" fillId="0" borderId="0" xfId="0" applyFont="1" applyFill="1"/>
    <xf numFmtId="0" fontId="29" fillId="0" borderId="0" xfId="0" applyFont="1" applyFill="1" applyAlignment="1"/>
    <xf numFmtId="0" fontId="29" fillId="0" borderId="0" xfId="0" applyNumberFormat="1" applyFont="1" applyFill="1" applyAlignment="1"/>
    <xf numFmtId="0" fontId="33" fillId="0" borderId="0" xfId="0" applyFont="1" applyFill="1" applyAlignment="1">
      <alignment horizontal="justify"/>
    </xf>
    <xf numFmtId="0" fontId="32" fillId="0" borderId="0" xfId="0" applyFont="1" applyFill="1" applyAlignment="1"/>
    <xf numFmtId="0" fontId="32" fillId="0" borderId="0" xfId="0" applyFont="1" applyFill="1"/>
    <xf numFmtId="169" fontId="30" fillId="0" borderId="0" xfId="0" applyNumberFormat="1" applyFont="1" applyFill="1" applyBorder="1" applyAlignment="1">
      <alignment horizontal="center"/>
    </xf>
    <xf numFmtId="170" fontId="30" fillId="0" borderId="0" xfId="0" applyNumberFormat="1" applyFont="1" applyFill="1" applyBorder="1" applyAlignment="1">
      <alignment horizontal="right"/>
    </xf>
    <xf numFmtId="0" fontId="32" fillId="0" borderId="0" xfId="0" applyFont="1" applyFill="1" applyAlignment="1">
      <alignment horizontal="right"/>
    </xf>
    <xf numFmtId="164" fontId="29" fillId="0" borderId="0" xfId="0" applyNumberFormat="1" applyFont="1" applyFill="1" applyAlignment="1"/>
    <xf numFmtId="170" fontId="30" fillId="0" borderId="0" xfId="0" applyNumberFormat="1" applyFont="1" applyFill="1" applyBorder="1" applyAlignment="1"/>
    <xf numFmtId="164" fontId="29" fillId="0" borderId="0" xfId="0" applyNumberFormat="1" applyFont="1" applyFill="1" applyBorder="1" applyAlignment="1"/>
    <xf numFmtId="0" fontId="31" fillId="0" borderId="0" xfId="0" applyFont="1" applyFill="1" applyAlignment="1">
      <alignment horizontal="right"/>
    </xf>
    <xf numFmtId="0" fontId="31" fillId="0" borderId="0" xfId="0" applyFont="1" applyFill="1" applyAlignment="1">
      <alignment horizontal="left"/>
    </xf>
    <xf numFmtId="0" fontId="32" fillId="0" borderId="0" xfId="0" applyFont="1" applyFill="1" applyAlignment="1">
      <alignment horizontal="left"/>
    </xf>
    <xf numFmtId="0" fontId="31" fillId="0" borderId="0" xfId="0" applyFont="1" applyFill="1" applyAlignment="1">
      <alignment horizontal="right" vertical="top"/>
    </xf>
    <xf numFmtId="0" fontId="31" fillId="0" borderId="0" xfId="0" applyFont="1" applyFill="1" applyAlignment="1">
      <alignment horizontal="center"/>
    </xf>
    <xf numFmtId="0" fontId="31" fillId="0" borderId="0" xfId="0" applyFont="1" applyFill="1" applyBorder="1"/>
    <xf numFmtId="0" fontId="31" fillId="0" borderId="0" xfId="0" applyFont="1" applyFill="1" applyAlignment="1">
      <alignment horizontal="justify"/>
    </xf>
    <xf numFmtId="164" fontId="29" fillId="0" borderId="0" xfId="11" quotePrefix="1" applyNumberFormat="1" applyFont="1" applyFill="1" applyAlignment="1">
      <alignment horizontal="right"/>
    </xf>
    <xf numFmtId="164" fontId="29" fillId="0" borderId="0" xfId="11" quotePrefix="1" applyNumberFormat="1" applyFont="1" applyFill="1" applyAlignment="1">
      <alignment horizontal="center"/>
    </xf>
    <xf numFmtId="164" fontId="29" fillId="0" borderId="0" xfId="11" applyNumberFormat="1" applyFont="1" applyFill="1" applyAlignment="1"/>
    <xf numFmtId="164" fontId="29" fillId="0" borderId="0" xfId="11" applyNumberFormat="1" applyFont="1" applyFill="1" applyBorder="1" applyAlignment="1"/>
    <xf numFmtId="164" fontId="29" fillId="0" borderId="0" xfId="11" quotePrefix="1" applyNumberFormat="1" applyFont="1" applyFill="1" applyAlignment="1">
      <alignment horizontal="left"/>
    </xf>
    <xf numFmtId="164" fontId="29" fillId="0" borderId="6" xfId="11" applyNumberFormat="1" applyFont="1" applyFill="1" applyBorder="1" applyAlignment="1"/>
    <xf numFmtId="164" fontId="29" fillId="0" borderId="0" xfId="11" quotePrefix="1" applyNumberFormat="1" applyFont="1" applyFill="1" applyAlignment="1">
      <alignment horizontal="right" vertical="top"/>
    </xf>
    <xf numFmtId="164" fontId="29" fillId="0" borderId="6" xfId="11" applyNumberFormat="1" applyFont="1" applyFill="1" applyBorder="1" applyAlignment="1" applyProtection="1"/>
    <xf numFmtId="39" fontId="29" fillId="0" borderId="0" xfId="11" applyNumberFormat="1" applyFont="1" applyFill="1" applyAlignment="1"/>
    <xf numFmtId="164" fontId="29" fillId="0" borderId="0" xfId="11" applyNumberFormat="1" applyFont="1" applyFill="1" applyBorder="1" applyAlignment="1">
      <alignment horizontal="right"/>
    </xf>
    <xf numFmtId="37" fontId="29" fillId="0" borderId="0" xfId="11" applyNumberFormat="1" applyFont="1" applyFill="1" applyAlignment="1"/>
    <xf numFmtId="170" fontId="35" fillId="0" borderId="0" xfId="0" applyNumberFormat="1" applyFont="1" applyFill="1" applyBorder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29" fillId="0" borderId="0" xfId="0" applyNumberFormat="1" applyFont="1" applyFill="1" applyAlignment="1">
      <alignment horizontal="center"/>
    </xf>
    <xf numFmtId="164" fontId="30" fillId="0" borderId="8" xfId="11" applyNumberFormat="1" applyFont="1" applyFill="1" applyBorder="1" applyAlignment="1" applyProtection="1"/>
    <xf numFmtId="164" fontId="30" fillId="0" borderId="9" xfId="11" applyNumberFormat="1" applyFont="1" applyFill="1" applyBorder="1" applyAlignment="1" applyProtection="1"/>
    <xf numFmtId="164" fontId="30" fillId="0" borderId="6" xfId="11" applyNumberFormat="1" applyFont="1" applyFill="1" applyBorder="1" applyAlignment="1"/>
    <xf numFmtId="3" fontId="29" fillId="0" borderId="0" xfId="0" applyNumberFormat="1" applyFont="1" applyFill="1" applyAlignment="1"/>
    <xf numFmtId="3" fontId="34" fillId="0" borderId="0" xfId="0" applyNumberFormat="1" applyFont="1" applyFill="1" applyAlignment="1"/>
    <xf numFmtId="1" fontId="30" fillId="0" borderId="6" xfId="0" applyNumberFormat="1" applyFont="1" applyFill="1" applyBorder="1" applyAlignment="1">
      <alignment horizontal="right"/>
    </xf>
    <xf numFmtId="0" fontId="36" fillId="0" borderId="0" xfId="0" applyFont="1" applyAlignment="1">
      <alignment horizontal="center"/>
    </xf>
    <xf numFmtId="0" fontId="29" fillId="0" borderId="0" xfId="0" applyNumberFormat="1" applyFont="1" applyFill="1" applyAlignment="1">
      <alignment horizontal="center"/>
    </xf>
    <xf numFmtId="0" fontId="29" fillId="0" borderId="0" xfId="0" applyNumberFormat="1" applyFont="1" applyFill="1" applyAlignment="1">
      <alignment horizontal="center"/>
    </xf>
    <xf numFmtId="0" fontId="32" fillId="0" borderId="0" xfId="0" applyNumberFormat="1" applyFont="1" applyAlignment="1"/>
    <xf numFmtId="0" fontId="31" fillId="0" borderId="0" xfId="0" applyNumberFormat="1" applyFont="1" applyAlignment="1"/>
    <xf numFmtId="0" fontId="31" fillId="0" borderId="0" xfId="0" applyFont="1" applyAlignment="1"/>
    <xf numFmtId="0" fontId="37" fillId="0" borderId="0" xfId="0" applyNumberFormat="1" applyFont="1" applyAlignment="1"/>
    <xf numFmtId="0" fontId="38" fillId="0" borderId="0" xfId="0" applyNumberFormat="1" applyFont="1" applyAlignment="1"/>
    <xf numFmtId="0" fontId="33" fillId="0" borderId="0" xfId="0" applyNumberFormat="1" applyFont="1" applyAlignment="1"/>
    <xf numFmtId="169" fontId="30" fillId="0" borderId="0" xfId="0" applyNumberFormat="1" applyFont="1" applyBorder="1" applyAlignment="1">
      <alignment horizontal="center"/>
    </xf>
    <xf numFmtId="169" fontId="30" fillId="0" borderId="7" xfId="0" applyNumberFormat="1" applyFont="1" applyBorder="1" applyAlignment="1">
      <alignment horizontal="center"/>
    </xf>
    <xf numFmtId="0" fontId="32" fillId="0" borderId="0" xfId="0" applyFont="1"/>
    <xf numFmtId="168" fontId="29" fillId="0" borderId="0" xfId="8" quotePrefix="1" applyNumberFormat="1" applyFont="1" applyFill="1" applyBorder="1" applyAlignment="1">
      <alignment horizontal="center"/>
    </xf>
    <xf numFmtId="0" fontId="31" fillId="0" borderId="0" xfId="0" applyFont="1"/>
    <xf numFmtId="168" fontId="29" fillId="0" borderId="0" xfId="8" quotePrefix="1" applyNumberFormat="1" applyFont="1" applyFill="1" applyBorder="1" applyAlignment="1">
      <alignment horizontal="right"/>
    </xf>
    <xf numFmtId="168" fontId="29" fillId="0" borderId="6" xfId="8" quotePrefix="1" applyNumberFormat="1" applyFont="1" applyFill="1" applyBorder="1" applyAlignment="1">
      <alignment horizontal="center"/>
    </xf>
    <xf numFmtId="168" fontId="29" fillId="0" borderId="0" xfId="8" applyNumberFormat="1" applyFont="1" applyFill="1" applyBorder="1" applyAlignment="1"/>
    <xf numFmtId="3" fontId="31" fillId="0" borderId="0" xfId="0" applyNumberFormat="1" applyFont="1" applyAlignment="1"/>
    <xf numFmtId="168" fontId="29" fillId="0" borderId="6" xfId="8" applyNumberFormat="1" applyFont="1" applyFill="1" applyBorder="1" applyAlignment="1"/>
    <xf numFmtId="168" fontId="29" fillId="0" borderId="6" xfId="8" applyNumberFormat="1" applyFont="1" applyFill="1" applyBorder="1" applyAlignment="1">
      <alignment horizontal="right"/>
    </xf>
    <xf numFmtId="0" fontId="32" fillId="0" borderId="0" xfId="0" applyFont="1" applyAlignment="1"/>
    <xf numFmtId="3" fontId="32" fillId="0" borderId="0" xfId="0" applyNumberFormat="1" applyFont="1" applyAlignment="1"/>
    <xf numFmtId="168" fontId="29" fillId="0" borderId="2" xfId="8" applyNumberFormat="1" applyFont="1" applyFill="1" applyBorder="1" applyAlignment="1"/>
    <xf numFmtId="0" fontId="29" fillId="0" borderId="0" xfId="0" applyNumberFormat="1" applyFont="1" applyAlignment="1">
      <alignment horizontal="center"/>
    </xf>
    <xf numFmtId="0" fontId="31" fillId="0" borderId="0" xfId="0" applyNumberFormat="1" applyFont="1" applyBorder="1" applyAlignment="1"/>
    <xf numFmtId="0" fontId="39" fillId="0" borderId="0" xfId="0" applyNumberFormat="1" applyFont="1" applyAlignment="1"/>
    <xf numFmtId="0" fontId="29" fillId="0" borderId="0" xfId="0" applyNumberFormat="1" applyFont="1" applyAlignment="1">
      <alignment horizontal="center"/>
    </xf>
    <xf numFmtId="0" fontId="30" fillId="0" borderId="0" xfId="12" applyNumberFormat="1" applyFont="1" applyAlignment="1"/>
    <xf numFmtId="0" fontId="30" fillId="0" borderId="0" xfId="13" applyNumberFormat="1" applyFont="1" applyFill="1" applyAlignment="1"/>
    <xf numFmtId="0" fontId="29" fillId="0" borderId="0" xfId="13" applyNumberFormat="1" applyFont="1" applyAlignment="1"/>
    <xf numFmtId="0" fontId="30" fillId="0" borderId="0" xfId="13" applyNumberFormat="1" applyFont="1" applyAlignment="1"/>
    <xf numFmtId="168" fontId="29" fillId="0" borderId="0" xfId="13" applyNumberFormat="1" applyFont="1" applyAlignment="1"/>
    <xf numFmtId="0" fontId="29" fillId="0" borderId="0" xfId="13" applyNumberFormat="1" applyFont="1" applyBorder="1" applyAlignment="1"/>
    <xf numFmtId="0" fontId="30" fillId="0" borderId="0" xfId="13" applyNumberFormat="1" applyFont="1" applyBorder="1" applyAlignment="1"/>
    <xf numFmtId="0" fontId="29" fillId="0" borderId="0" xfId="13" applyNumberFormat="1" applyFont="1" applyFill="1" applyBorder="1" applyAlignment="1"/>
    <xf numFmtId="0" fontId="30" fillId="0" borderId="0" xfId="13" applyNumberFormat="1" applyFont="1" applyFill="1" applyBorder="1" applyAlignment="1"/>
    <xf numFmtId="0" fontId="40" fillId="0" borderId="0" xfId="0" applyFont="1" applyAlignment="1"/>
    <xf numFmtId="0" fontId="29" fillId="0" borderId="0" xfId="0" applyFont="1" applyAlignment="1"/>
    <xf numFmtId="0" fontId="29" fillId="0" borderId="0" xfId="0" applyFont="1" applyFill="1" applyBorder="1" applyAlignment="1"/>
    <xf numFmtId="0" fontId="41" fillId="0" borderId="0" xfId="0" applyFont="1" applyAlignment="1"/>
    <xf numFmtId="0" fontId="30" fillId="0" borderId="6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30" fillId="0" borderId="0" xfId="0" applyFont="1" applyFill="1" applyBorder="1" applyAlignment="1">
      <alignment horizontal="right"/>
    </xf>
    <xf numFmtId="164" fontId="29" fillId="0" borderId="0" xfId="8" applyNumberFormat="1" applyFont="1" applyFill="1" applyAlignment="1"/>
    <xf numFmtId="164" fontId="29" fillId="0" borderId="0" xfId="8" applyNumberFormat="1" applyFont="1" applyFill="1" applyBorder="1" applyAlignment="1"/>
    <xf numFmtId="0" fontId="41" fillId="0" borderId="0" xfId="0" applyFont="1" applyFill="1" applyAlignment="1"/>
    <xf numFmtId="164" fontId="29" fillId="0" borderId="2" xfId="8" applyNumberFormat="1" applyFont="1" applyFill="1" applyBorder="1" applyAlignment="1"/>
    <xf numFmtId="164" fontId="29" fillId="0" borderId="0" xfId="8" applyNumberFormat="1" applyFont="1" applyFill="1" applyAlignment="1">
      <alignment horizontal="right"/>
    </xf>
    <xf numFmtId="164" fontId="29" fillId="0" borderId="6" xfId="8" applyNumberFormat="1" applyFont="1" applyFill="1" applyBorder="1" applyAlignment="1"/>
    <xf numFmtId="164" fontId="29" fillId="0" borderId="3" xfId="8" applyNumberFormat="1" applyFont="1" applyFill="1" applyBorder="1" applyAlignment="1"/>
    <xf numFmtId="164" fontId="41" fillId="0" borderId="0" xfId="0" applyNumberFormat="1" applyFont="1" applyFill="1" applyAlignment="1"/>
    <xf numFmtId="164" fontId="41" fillId="0" borderId="0" xfId="0" applyNumberFormat="1" applyFont="1" applyAlignment="1"/>
    <xf numFmtId="164" fontId="29" fillId="0" borderId="6" xfId="8" applyNumberFormat="1" applyFont="1" applyFill="1" applyBorder="1" applyAlignment="1">
      <alignment horizontal="right"/>
    </xf>
    <xf numFmtId="0" fontId="29" fillId="0" borderId="0" xfId="0" applyNumberFormat="1" applyFont="1" applyAlignment="1"/>
    <xf numFmtId="167" fontId="29" fillId="0" borderId="0" xfId="8" applyNumberFormat="1" applyFont="1" applyFill="1" applyAlignment="1"/>
    <xf numFmtId="167" fontId="29" fillId="0" borderId="0" xfId="8" applyNumberFormat="1" applyFont="1" applyFill="1" applyBorder="1" applyAlignment="1"/>
    <xf numFmtId="3" fontId="41" fillId="0" borderId="0" xfId="0" applyNumberFormat="1" applyFont="1" applyAlignment="1"/>
    <xf numFmtId="3" fontId="41" fillId="0" borderId="0" xfId="0" applyNumberFormat="1" applyFont="1" applyFill="1" applyBorder="1" applyAlignment="1"/>
    <xf numFmtId="3" fontId="29" fillId="0" borderId="0" xfId="0" applyNumberFormat="1" applyFont="1" applyAlignment="1"/>
    <xf numFmtId="3" fontId="41" fillId="0" borderId="0" xfId="0" applyNumberFormat="1" applyFont="1" applyFill="1" applyAlignment="1"/>
    <xf numFmtId="0" fontId="41" fillId="0" borderId="0" xfId="0" applyFont="1" applyFill="1" applyBorder="1" applyAlignment="1"/>
    <xf numFmtId="0" fontId="42" fillId="0" borderId="0" xfId="0" applyNumberFormat="1" applyFont="1" applyAlignment="1"/>
    <xf numFmtId="0" fontId="43" fillId="0" borderId="0" xfId="0" applyNumberFormat="1" applyFont="1" applyAlignment="1"/>
    <xf numFmtId="0" fontId="37" fillId="0" borderId="0" xfId="0" applyFont="1" applyAlignment="1"/>
    <xf numFmtId="0" fontId="29" fillId="0" borderId="0" xfId="0" applyFont="1" applyBorder="1" applyAlignment="1"/>
    <xf numFmtId="0" fontId="31" fillId="0" borderId="0" xfId="0" applyFont="1" applyAlignment="1">
      <alignment horizontal="justify"/>
    </xf>
    <xf numFmtId="167" fontId="29" fillId="0" borderId="0" xfId="8" applyNumberFormat="1" applyFont="1" applyBorder="1" applyAlignment="1"/>
    <xf numFmtId="0" fontId="32" fillId="0" borderId="0" xfId="0" applyFont="1" applyAlignment="1">
      <alignment horizontal="justify"/>
    </xf>
    <xf numFmtId="0" fontId="33" fillId="0" borderId="0" xfId="0" applyFont="1" applyAlignment="1"/>
    <xf numFmtId="0" fontId="33" fillId="0" borderId="0" xfId="0" applyFont="1" applyAlignment="1">
      <alignment horizontal="justify"/>
    </xf>
    <xf numFmtId="0" fontId="29" fillId="0" borderId="0" xfId="0" applyFont="1" applyFill="1" applyBorder="1" applyAlignment="1">
      <alignment horizontal="right"/>
    </xf>
    <xf numFmtId="170" fontId="30" fillId="0" borderId="7" xfId="0" applyNumberFormat="1" applyFont="1" applyBorder="1" applyAlignment="1"/>
    <xf numFmtId="170" fontId="30" fillId="0" borderId="0" xfId="0" applyNumberFormat="1" applyFont="1" applyBorder="1" applyAlignment="1"/>
    <xf numFmtId="170" fontId="30" fillId="0" borderId="0" xfId="0" applyNumberFormat="1" applyFont="1" applyFill="1" applyBorder="1" applyAlignment="1">
      <alignment horizontal="left"/>
    </xf>
    <xf numFmtId="164" fontId="52" fillId="0" borderId="0" xfId="8" applyNumberFormat="1" applyFont="1" applyFill="1" applyBorder="1" applyAlignment="1">
      <alignment horizontal="left"/>
    </xf>
    <xf numFmtId="0" fontId="30" fillId="0" borderId="0" xfId="0" applyFont="1" applyBorder="1" applyAlignment="1"/>
    <xf numFmtId="0" fontId="53" fillId="0" borderId="0" xfId="0" applyFont="1" applyBorder="1" applyAlignment="1">
      <alignment horizontal="left"/>
    </xf>
    <xf numFmtId="0" fontId="54" fillId="0" borderId="0" xfId="0" applyFont="1"/>
    <xf numFmtId="37" fontId="30" fillId="2" borderId="0" xfId="14" applyNumberFormat="1" applyFont="1" applyFill="1"/>
    <xf numFmtId="164" fontId="29" fillId="0" borderId="2" xfId="8" applyNumberFormat="1" applyFont="1" applyFill="1" applyBorder="1" applyAlignment="1" applyProtection="1"/>
    <xf numFmtId="164" fontId="29" fillId="0" borderId="0" xfId="8" applyNumberFormat="1" applyFont="1" applyFill="1" applyBorder="1" applyAlignment="1" applyProtection="1"/>
    <xf numFmtId="0" fontId="31" fillId="0" borderId="0" xfId="0" applyFont="1" applyBorder="1"/>
    <xf numFmtId="0" fontId="31" fillId="0" borderId="0" xfId="0" applyFont="1" applyBorder="1" applyAlignment="1"/>
    <xf numFmtId="0" fontId="32" fillId="0" borderId="0" xfId="0" applyFont="1" applyBorder="1"/>
    <xf numFmtId="164" fontId="30" fillId="0" borderId="2" xfId="8" applyNumberFormat="1" applyFont="1" applyFill="1" applyBorder="1" applyAlignment="1" applyProtection="1"/>
    <xf numFmtId="164" fontId="30" fillId="0" borderId="0" xfId="8" applyNumberFormat="1" applyFont="1" applyFill="1" applyBorder="1" applyAlignment="1" applyProtection="1"/>
    <xf numFmtId="0" fontId="32" fillId="0" borderId="0" xfId="0" applyFont="1" applyBorder="1" applyAlignment="1"/>
    <xf numFmtId="0" fontId="29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29" fillId="0" borderId="0" xfId="0" applyNumberFormat="1" applyFont="1" applyBorder="1" applyAlignment="1"/>
    <xf numFmtId="0" fontId="13" fillId="0" borderId="0" xfId="0" applyNumberFormat="1" applyFont="1" applyBorder="1" applyAlignment="1"/>
    <xf numFmtId="167" fontId="13" fillId="0" borderId="0" xfId="8" applyNumberFormat="1" applyFont="1" applyBorder="1" applyAlignment="1"/>
    <xf numFmtId="169" fontId="30" fillId="4" borderId="7" xfId="0" applyNumberFormat="1" applyFont="1" applyFill="1" applyBorder="1" applyAlignment="1">
      <alignment horizontal="center"/>
    </xf>
    <xf numFmtId="179" fontId="29" fillId="4" borderId="6" xfId="0" applyNumberFormat="1" applyFont="1" applyFill="1" applyBorder="1"/>
    <xf numFmtId="179" fontId="29" fillId="4" borderId="0" xfId="0" applyNumberFormat="1" applyFont="1" applyFill="1" applyBorder="1"/>
    <xf numFmtId="0" fontId="14" fillId="4" borderId="0" xfId="0" applyNumberFormat="1" applyFont="1" applyFill="1" applyAlignment="1"/>
    <xf numFmtId="0" fontId="10" fillId="4" borderId="0" xfId="0" applyNumberFormat="1" applyFont="1" applyFill="1" applyAlignment="1"/>
    <xf numFmtId="0" fontId="55" fillId="4" borderId="0" xfId="0" applyFont="1" applyFill="1"/>
    <xf numFmtId="0" fontId="56" fillId="4" borderId="0" xfId="0" applyNumberFormat="1" applyFont="1" applyFill="1" applyAlignment="1"/>
    <xf numFmtId="0" fontId="57" fillId="4" borderId="0" xfId="0" applyNumberFormat="1" applyFont="1" applyFill="1" applyAlignment="1"/>
    <xf numFmtId="0" fontId="29" fillId="4" borderId="0" xfId="0" applyFont="1" applyFill="1"/>
    <xf numFmtId="0" fontId="30" fillId="4" borderId="0" xfId="0" applyFont="1" applyFill="1"/>
    <xf numFmtId="3" fontId="29" fillId="4" borderId="0" xfId="0" applyNumberFormat="1" applyFont="1" applyFill="1"/>
    <xf numFmtId="3" fontId="29" fillId="4" borderId="6" xfId="0" applyNumberFormat="1" applyFont="1" applyFill="1" applyBorder="1"/>
    <xf numFmtId="3" fontId="30" fillId="4" borderId="7" xfId="0" applyNumberFormat="1" applyFont="1" applyFill="1" applyBorder="1"/>
    <xf numFmtId="3" fontId="29" fillId="4" borderId="0" xfId="0" applyNumberFormat="1" applyFont="1" applyFill="1" applyBorder="1"/>
  </cellXfs>
  <cellStyles count="45">
    <cellStyle name="Comma 2" xfId="15"/>
    <cellStyle name="Comma 3" xfId="16"/>
    <cellStyle name="Comma 4" xfId="17"/>
    <cellStyle name="Comma 5" xfId="18"/>
    <cellStyle name="Comma 6" xfId="19"/>
    <cellStyle name="Dezimal [0]_A" xfId="20"/>
    <cellStyle name="Dezimal_A" xfId="21"/>
    <cellStyle name="Excel_BuiltIn_Comma 1" xfId="1"/>
    <cellStyle name="FRxAmtStyle" xfId="22"/>
    <cellStyle name="FRxAmtStyle 2" xfId="23"/>
    <cellStyle name="FRxAmtStyle 3" xfId="24"/>
    <cellStyle name="FRxAmtStyle 4" xfId="25"/>
    <cellStyle name="FRxAmtStyle_092A_STDUSGAAPLC" xfId="26"/>
    <cellStyle name="FRxCurrStyle" xfId="27"/>
    <cellStyle name="FRxPcntStyle" xfId="28"/>
    <cellStyle name="Normal" xfId="0" builtinId="0"/>
    <cellStyle name="Normal 2" xfId="2"/>
    <cellStyle name="Normal 2 2" xfId="3"/>
    <cellStyle name="Normal 2 2 2" xfId="13"/>
    <cellStyle name="Normal 2 3" xfId="4"/>
    <cellStyle name="Normal 2 4" xfId="5"/>
    <cellStyle name="Normal 2 5" xfId="6"/>
    <cellStyle name="Normal 2 6" xfId="29"/>
    <cellStyle name="Normal 3" xfId="7"/>
    <cellStyle name="Normal 3 2" xfId="30"/>
    <cellStyle name="Normal 3 3" xfId="31"/>
    <cellStyle name="Normal 4" xfId="14"/>
    <cellStyle name="Normal 5" xfId="32"/>
    <cellStyle name="Normal 6" xfId="33"/>
    <cellStyle name="Normal 6 2" xfId="34"/>
    <cellStyle name="Percent 2" xfId="35"/>
    <cellStyle name="Separador de milhares 2" xfId="9"/>
    <cellStyle name="Separador de milhares 2 2" xfId="12"/>
    <cellStyle name="Separador de milhares 3" xfId="10"/>
    <cellStyle name="Standard_Balance Sheet-Cash Flow 1299" xfId="36"/>
    <cellStyle name="Style 1" xfId="37"/>
    <cellStyle name="STYLE1" xfId="38"/>
    <cellStyle name="STYLE2" xfId="39"/>
    <cellStyle name="STYLE3" xfId="40"/>
    <cellStyle name="STYLE4" xfId="41"/>
    <cellStyle name="STYLE5" xfId="42"/>
    <cellStyle name="Vírgula" xfId="8" builtinId="3"/>
    <cellStyle name="Vírgula 2" xfId="11"/>
    <cellStyle name="Währung [0]_A" xfId="43"/>
    <cellStyle name="Währung_A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UDITORIA\Auditoria%202017\DFC%20-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218004992\Local%20Settings\Temporary%20Internet%20Files\OLK2B\balan&#231;o%20vers&#227;o%20kpmg%2012-2008-PUBLICA&#199;&#195;O%20ISOL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C - DEZ 2017"/>
      <sheetName val="Suporte DFC DEZ 2017"/>
    </sheetNames>
    <sheetDataSet>
      <sheetData sheetId="0" refreshError="1"/>
      <sheetData sheetId="1">
        <row r="7">
          <cell r="AD7">
            <v>44808</v>
          </cell>
        </row>
        <row r="9">
          <cell r="AD9">
            <v>-7683</v>
          </cell>
        </row>
        <row r="10">
          <cell r="AD10">
            <v>-4765</v>
          </cell>
        </row>
        <row r="12">
          <cell r="AD12">
            <v>806</v>
          </cell>
        </row>
        <row r="16">
          <cell r="AD16">
            <v>-998</v>
          </cell>
        </row>
        <row r="22">
          <cell r="AD22">
            <v>4451</v>
          </cell>
        </row>
        <row r="39">
          <cell r="AD39">
            <v>-9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Mov. Fluxo de caixa"/>
      <sheetName val="DFC-MÉT. INDIRETO (3)"/>
      <sheetName val="DFC-MÉT. INDIRETO (2)"/>
      <sheetName val="BP_ANALITICO"/>
      <sheetName val="BP"/>
      <sheetName val="DRE"/>
      <sheetName val="DMPL"/>
      <sheetName val="DFC-MÉT. DIRETO"/>
      <sheetName val="DFC-MÉT. INDIRETO"/>
      <sheetName val="DVA"/>
      <sheetName val="Plan1"/>
      <sheetName val="DOAR"/>
      <sheetName val="balanço 2008"/>
      <sheetName val="balanço 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topLeftCell="A16" zoomScale="90" zoomScaleNormal="98" zoomScaleSheetLayoutView="90" workbookViewId="0">
      <selection activeCell="A31" sqref="A31"/>
    </sheetView>
  </sheetViews>
  <sheetFormatPr defaultRowHeight="12.75" x14ac:dyDescent="0.2"/>
  <cols>
    <col min="1" max="1" width="37.5703125" style="18" customWidth="1"/>
    <col min="2" max="2" width="4.85546875" style="18" customWidth="1"/>
    <col min="3" max="3" width="1.42578125" style="18" hidden="1" customWidth="1"/>
    <col min="4" max="4" width="14.42578125" style="18" customWidth="1"/>
    <col min="5" max="5" width="17.42578125" style="18" hidden="1" customWidth="1"/>
    <col min="6" max="6" width="2.42578125" style="18" customWidth="1"/>
    <col min="7" max="7" width="15" style="18" customWidth="1"/>
    <col min="8" max="9" width="18.140625" style="18" hidden="1" customWidth="1"/>
    <col min="10" max="11" width="17.7109375" style="18" hidden="1" customWidth="1"/>
    <col min="12" max="12" width="1.7109375" style="18" hidden="1" customWidth="1"/>
    <col min="13" max="14" width="17.7109375" style="18" hidden="1" customWidth="1"/>
    <col min="15" max="15" width="19.140625" style="18" hidden="1" customWidth="1"/>
    <col min="16" max="16" width="17.5703125" style="18" hidden="1" customWidth="1"/>
    <col min="17" max="17" width="17.140625" style="18" hidden="1" customWidth="1"/>
    <col min="18" max="18" width="18.7109375" style="18" hidden="1" customWidth="1"/>
    <col min="19" max="19" width="18.7109375" style="113" hidden="1" customWidth="1"/>
    <col min="20" max="20" width="3" style="18" customWidth="1"/>
    <col min="21" max="21" width="15.28515625" style="18" customWidth="1"/>
    <col min="22" max="22" width="1.85546875" style="18" customWidth="1"/>
    <col min="23" max="23" width="49.42578125" style="18" customWidth="1"/>
    <col min="24" max="24" width="18" style="18" hidden="1" customWidth="1"/>
    <col min="25" max="25" width="4.85546875" style="18" customWidth="1"/>
    <col min="26" max="26" width="18" style="18" customWidth="1"/>
    <col min="27" max="27" width="2.140625" style="18" customWidth="1"/>
    <col min="28" max="28" width="18" style="18" customWidth="1"/>
    <col min="29" max="29" width="18.5703125" style="18" hidden="1" customWidth="1"/>
    <col min="30" max="30" width="18.28515625" style="18" hidden="1" customWidth="1"/>
    <col min="31" max="31" width="2.140625" style="18" hidden="1" customWidth="1"/>
    <col min="32" max="32" width="18.140625" style="18" hidden="1" customWidth="1"/>
    <col min="33" max="33" width="18.140625" style="19" hidden="1" customWidth="1"/>
    <col min="34" max="34" width="19.85546875" style="18" hidden="1" customWidth="1"/>
    <col min="35" max="36" width="17.5703125" style="18" hidden="1" customWidth="1"/>
    <col min="37" max="38" width="18.42578125" style="18" hidden="1" customWidth="1"/>
    <col min="39" max="39" width="2.28515625" style="18" customWidth="1"/>
    <col min="40" max="40" width="18.42578125" style="18" customWidth="1"/>
    <col min="41" max="16384" width="9.140625" style="18"/>
  </cols>
  <sheetData>
    <row r="1" spans="1:40" ht="15" x14ac:dyDescent="0.35">
      <c r="A1" s="18" t="s">
        <v>33</v>
      </c>
      <c r="W1" s="81"/>
      <c r="X1" s="81"/>
      <c r="Y1" s="81"/>
      <c r="Z1" s="81"/>
      <c r="AA1" s="81"/>
      <c r="AB1" s="81"/>
      <c r="AC1" s="81"/>
      <c r="AD1" s="81"/>
      <c r="AE1" s="81"/>
      <c r="AF1" s="81"/>
      <c r="AG1" s="82"/>
      <c r="AH1" s="81"/>
      <c r="AI1" s="81"/>
      <c r="AJ1" s="81"/>
      <c r="AK1" s="81"/>
      <c r="AL1" s="81"/>
      <c r="AM1" s="81"/>
      <c r="AN1" s="81"/>
    </row>
    <row r="2" spans="1:40" ht="15.75" x14ac:dyDescent="0.3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9"/>
      <c r="K2" s="29"/>
      <c r="L2" s="28"/>
      <c r="M2" s="28"/>
      <c r="N2" s="28"/>
      <c r="O2" s="28"/>
      <c r="P2" s="28"/>
      <c r="Q2" s="28"/>
      <c r="R2" s="28"/>
      <c r="S2" s="114"/>
      <c r="T2" s="28"/>
      <c r="U2" s="28"/>
      <c r="V2" s="3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ht="8.25" customHeight="1" x14ac:dyDescent="0.3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114"/>
      <c r="T3" s="28"/>
      <c r="U3" s="28"/>
      <c r="V3" s="3"/>
      <c r="W3" s="28" t="s">
        <v>1</v>
      </c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ht="15.75" x14ac:dyDescent="0.35">
      <c r="A4" s="28" t="s">
        <v>29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114"/>
      <c r="T4" s="28"/>
      <c r="U4" s="28"/>
      <c r="V4" s="3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ht="15.75" x14ac:dyDescent="0.35">
      <c r="A5" s="28" t="s">
        <v>38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114"/>
      <c r="T5" s="28"/>
      <c r="U5" s="28"/>
      <c r="V5" s="3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ht="15.75" x14ac:dyDescent="0.35">
      <c r="A6" s="28" t="s">
        <v>39</v>
      </c>
      <c r="B6" s="28"/>
      <c r="C6" s="28"/>
      <c r="D6" s="28"/>
      <c r="E6" s="28"/>
      <c r="F6" s="28"/>
      <c r="G6" s="28"/>
      <c r="H6" s="28"/>
      <c r="I6" s="28"/>
      <c r="J6" s="30"/>
      <c r="K6" s="30"/>
      <c r="L6" s="28"/>
      <c r="M6" s="30"/>
      <c r="N6" s="30"/>
      <c r="O6" s="30"/>
      <c r="P6" s="28"/>
      <c r="Q6" s="30"/>
      <c r="R6" s="31"/>
      <c r="S6" s="115"/>
      <c r="T6" s="31"/>
      <c r="U6" s="31"/>
      <c r="V6" s="3"/>
      <c r="W6" s="28"/>
      <c r="X6" s="28"/>
      <c r="Y6" s="28"/>
      <c r="Z6" s="28"/>
      <c r="AA6" s="28"/>
      <c r="AB6" s="28"/>
      <c r="AC6" s="28"/>
      <c r="AD6" s="30"/>
      <c r="AE6" s="28"/>
      <c r="AF6" s="28"/>
      <c r="AG6" s="28"/>
      <c r="AH6" s="28"/>
      <c r="AI6" s="28"/>
      <c r="AJ6" s="30"/>
      <c r="AK6" s="83"/>
      <c r="AL6" s="83"/>
      <c r="AM6" s="83"/>
      <c r="AN6" s="83"/>
    </row>
    <row r="7" spans="1:40" ht="15.75" x14ac:dyDescent="0.35">
      <c r="A7" s="28"/>
      <c r="B7" s="28"/>
      <c r="C7" s="28"/>
      <c r="D7" s="28"/>
      <c r="E7" s="28"/>
      <c r="F7" s="28"/>
      <c r="G7" s="28"/>
      <c r="H7" s="28"/>
      <c r="I7" s="28"/>
      <c r="J7" s="30"/>
      <c r="K7" s="30"/>
      <c r="L7" s="28"/>
      <c r="M7" s="30"/>
      <c r="N7" s="30"/>
      <c r="O7" s="30"/>
      <c r="P7" s="28"/>
      <c r="Q7" s="30"/>
      <c r="R7" s="31"/>
      <c r="S7" s="115"/>
      <c r="T7" s="31"/>
      <c r="U7" s="31"/>
      <c r="V7" s="3"/>
      <c r="W7" s="28"/>
      <c r="X7" s="28"/>
      <c r="Y7" s="28"/>
      <c r="Z7" s="28"/>
      <c r="AA7" s="28"/>
      <c r="AB7" s="28"/>
      <c r="AC7" s="28"/>
      <c r="AD7" s="30"/>
      <c r="AE7" s="28"/>
      <c r="AF7" s="28"/>
      <c r="AG7" s="28"/>
      <c r="AH7" s="28"/>
      <c r="AI7" s="28"/>
      <c r="AJ7" s="30"/>
      <c r="AK7" s="83"/>
      <c r="AL7" s="83"/>
      <c r="AM7" s="83"/>
      <c r="AN7" s="83"/>
    </row>
    <row r="8" spans="1:40" ht="15" x14ac:dyDescent="0.35">
      <c r="A8" s="32"/>
      <c r="B8" s="32"/>
      <c r="C8" s="33" t="s">
        <v>32</v>
      </c>
      <c r="D8" s="33"/>
      <c r="E8" s="33" t="s">
        <v>32</v>
      </c>
      <c r="F8" s="33"/>
      <c r="G8" s="33" t="s">
        <v>56</v>
      </c>
      <c r="H8" s="33" t="s">
        <v>31</v>
      </c>
      <c r="I8" s="33"/>
      <c r="J8" s="33" t="s">
        <v>30</v>
      </c>
      <c r="K8" s="33"/>
      <c r="L8" s="34"/>
      <c r="M8" s="33" t="s">
        <v>32</v>
      </c>
      <c r="N8" s="35"/>
      <c r="O8" s="33" t="s">
        <v>32</v>
      </c>
      <c r="P8" s="33" t="s">
        <v>31</v>
      </c>
      <c r="Q8" s="33" t="s">
        <v>30</v>
      </c>
      <c r="R8" s="33" t="s">
        <v>32</v>
      </c>
      <c r="S8" s="116"/>
      <c r="T8" s="33"/>
      <c r="U8" s="33" t="s">
        <v>56</v>
      </c>
      <c r="V8" s="11"/>
      <c r="W8" s="84"/>
      <c r="X8" s="85" t="s">
        <v>32</v>
      </c>
      <c r="Y8" s="85"/>
      <c r="Z8" s="85"/>
      <c r="AA8" s="85"/>
      <c r="AB8" s="86" t="s">
        <v>56</v>
      </c>
      <c r="AC8" s="85" t="s">
        <v>31</v>
      </c>
      <c r="AD8" s="85" t="s">
        <v>30</v>
      </c>
      <c r="AE8" s="70"/>
      <c r="AF8" s="86" t="s">
        <v>35</v>
      </c>
      <c r="AG8" s="87"/>
      <c r="AH8" s="86" t="s">
        <v>32</v>
      </c>
      <c r="AI8" s="85" t="s">
        <v>31</v>
      </c>
      <c r="AJ8" s="85" t="s">
        <v>30</v>
      </c>
      <c r="AK8" s="85" t="s">
        <v>35</v>
      </c>
      <c r="AL8" s="85"/>
      <c r="AM8" s="85"/>
      <c r="AN8" s="85" t="s">
        <v>56</v>
      </c>
    </row>
    <row r="9" spans="1:40" ht="18" x14ac:dyDescent="0.35">
      <c r="A9" s="28" t="s">
        <v>64</v>
      </c>
      <c r="B9" s="28" t="s">
        <v>60</v>
      </c>
      <c r="C9" s="36">
        <v>2011</v>
      </c>
      <c r="D9" s="36">
        <v>2011</v>
      </c>
      <c r="E9" s="36">
        <v>2010</v>
      </c>
      <c r="F9" s="36"/>
      <c r="G9" s="36">
        <v>2010</v>
      </c>
      <c r="H9" s="37">
        <v>40908</v>
      </c>
      <c r="I9" s="37"/>
      <c r="J9" s="37">
        <v>40908</v>
      </c>
      <c r="K9" s="38"/>
      <c r="L9" s="39"/>
      <c r="M9" s="36">
        <v>2010</v>
      </c>
      <c r="N9" s="40" t="s">
        <v>58</v>
      </c>
      <c r="O9" s="36" t="s">
        <v>52</v>
      </c>
      <c r="P9" s="37">
        <v>40543</v>
      </c>
      <c r="Q9" s="37">
        <v>40543</v>
      </c>
      <c r="R9" s="41" t="s">
        <v>51</v>
      </c>
      <c r="S9" s="117"/>
      <c r="T9" s="41"/>
      <c r="U9" s="42">
        <v>40179</v>
      </c>
      <c r="V9" s="23"/>
      <c r="W9" s="28" t="s">
        <v>65</v>
      </c>
      <c r="X9" s="36">
        <v>2011</v>
      </c>
      <c r="Y9" s="36" t="s">
        <v>60</v>
      </c>
      <c r="Z9" s="36">
        <v>2011</v>
      </c>
      <c r="AA9" s="36"/>
      <c r="AB9" s="36">
        <v>2010</v>
      </c>
      <c r="AC9" s="37">
        <v>40908</v>
      </c>
      <c r="AD9" s="37">
        <v>40908</v>
      </c>
      <c r="AE9" s="39"/>
      <c r="AF9" s="36">
        <v>2010</v>
      </c>
      <c r="AG9" s="40" t="s">
        <v>58</v>
      </c>
      <c r="AH9" s="36" t="s">
        <v>52</v>
      </c>
      <c r="AI9" s="37">
        <v>40543</v>
      </c>
      <c r="AJ9" s="37">
        <v>40543</v>
      </c>
      <c r="AK9" s="88" t="s">
        <v>51</v>
      </c>
      <c r="AL9" s="88"/>
      <c r="AM9" s="88"/>
      <c r="AN9" s="37">
        <v>40179</v>
      </c>
    </row>
    <row r="10" spans="1:40" ht="17.25" x14ac:dyDescent="0.35">
      <c r="A10" s="32"/>
      <c r="B10" s="32"/>
      <c r="C10" s="32"/>
      <c r="D10" s="32"/>
      <c r="E10" s="32"/>
      <c r="F10" s="32"/>
      <c r="G10" s="32"/>
      <c r="H10" s="32"/>
      <c r="I10" s="32"/>
      <c r="J10" s="43"/>
      <c r="K10" s="43"/>
      <c r="L10" s="44"/>
      <c r="M10" s="43"/>
      <c r="N10" s="45"/>
      <c r="O10" s="43"/>
      <c r="P10" s="32"/>
      <c r="Q10" s="44"/>
      <c r="R10" s="44"/>
      <c r="S10" s="118"/>
      <c r="T10" s="44"/>
      <c r="U10" s="44"/>
      <c r="V10" s="24"/>
      <c r="W10" s="84"/>
      <c r="X10" s="84"/>
      <c r="Y10" s="84"/>
      <c r="Z10" s="84"/>
      <c r="AA10" s="84"/>
      <c r="AB10" s="84"/>
      <c r="AC10" s="84"/>
      <c r="AD10" s="43"/>
      <c r="AE10" s="44"/>
      <c r="AF10" s="44"/>
      <c r="AG10" s="87"/>
      <c r="AH10" s="44"/>
      <c r="AI10" s="84"/>
      <c r="AJ10" s="53"/>
      <c r="AK10" s="53"/>
      <c r="AL10" s="53"/>
      <c r="AM10" s="53"/>
      <c r="AN10" s="53"/>
    </row>
    <row r="11" spans="1:40" ht="17.25" x14ac:dyDescent="0.35">
      <c r="A11" s="28" t="s">
        <v>2</v>
      </c>
      <c r="B11" s="28"/>
      <c r="C11" s="28"/>
      <c r="D11" s="28"/>
      <c r="E11" s="28"/>
      <c r="F11" s="28"/>
      <c r="G11" s="28"/>
      <c r="H11" s="28"/>
      <c r="I11" s="28"/>
      <c r="J11" s="43"/>
      <c r="K11" s="43"/>
      <c r="L11" s="39"/>
      <c r="M11" s="43"/>
      <c r="N11" s="45"/>
      <c r="O11" s="43"/>
      <c r="P11" s="28"/>
      <c r="Q11" s="39"/>
      <c r="R11" s="39"/>
      <c r="S11" s="119"/>
      <c r="T11" s="39"/>
      <c r="U11" s="39"/>
      <c r="V11" s="24"/>
      <c r="W11" s="28" t="s">
        <v>2</v>
      </c>
      <c r="X11" s="28"/>
      <c r="Y11" s="28"/>
      <c r="Z11" s="28"/>
      <c r="AA11" s="28"/>
      <c r="AB11" s="28"/>
      <c r="AC11" s="28"/>
      <c r="AD11" s="46"/>
      <c r="AE11" s="39"/>
      <c r="AF11" s="39"/>
      <c r="AG11" s="89"/>
      <c r="AH11" s="39"/>
      <c r="AI11" s="28"/>
      <c r="AJ11" s="28"/>
      <c r="AK11" s="28"/>
      <c r="AL11" s="28"/>
      <c r="AM11" s="28"/>
      <c r="AN11" s="28"/>
    </row>
    <row r="12" spans="1:40" ht="17.25" x14ac:dyDescent="0.35">
      <c r="A12" s="32"/>
      <c r="B12" s="32"/>
      <c r="C12" s="32"/>
      <c r="D12" s="32"/>
      <c r="E12" s="32"/>
      <c r="F12" s="32"/>
      <c r="G12" s="32"/>
      <c r="H12" s="32"/>
      <c r="I12" s="32"/>
      <c r="J12" s="46"/>
      <c r="K12" s="46"/>
      <c r="L12" s="39"/>
      <c r="M12" s="46"/>
      <c r="N12" s="47"/>
      <c r="O12" s="46"/>
      <c r="P12" s="32"/>
      <c r="Q12" s="39"/>
      <c r="R12" s="39"/>
      <c r="S12" s="119"/>
      <c r="T12" s="39"/>
      <c r="U12" s="39"/>
      <c r="V12" s="24"/>
      <c r="W12" s="84"/>
      <c r="X12" s="84"/>
      <c r="Y12" s="84"/>
      <c r="Z12" s="84"/>
      <c r="AA12" s="84"/>
      <c r="AB12" s="84"/>
      <c r="AC12" s="84"/>
      <c r="AD12" s="46"/>
      <c r="AE12" s="39"/>
      <c r="AF12" s="39"/>
      <c r="AG12" s="89"/>
      <c r="AH12" s="39"/>
      <c r="AI12" s="84"/>
      <c r="AJ12" s="53"/>
      <c r="AK12" s="53"/>
      <c r="AL12" s="53"/>
      <c r="AM12" s="53"/>
      <c r="AN12" s="53"/>
    </row>
    <row r="13" spans="1:40" ht="17.25" x14ac:dyDescent="0.35">
      <c r="A13" s="39" t="s">
        <v>59</v>
      </c>
      <c r="B13" s="68">
        <v>4</v>
      </c>
      <c r="C13" s="39">
        <v>11270603.59</v>
      </c>
      <c r="D13" s="10">
        <f>C13/1000</f>
        <v>11270.603590000001</v>
      </c>
      <c r="E13" s="10">
        <f>M13</f>
        <v>8753339.8699999992</v>
      </c>
      <c r="F13" s="10"/>
      <c r="G13" s="10">
        <f>E13/1000</f>
        <v>8753.3398699999998</v>
      </c>
      <c r="H13" s="39">
        <v>680</v>
      </c>
      <c r="I13" s="39"/>
      <c r="J13" s="49">
        <v>0</v>
      </c>
      <c r="K13" s="49"/>
      <c r="L13" s="39"/>
      <c r="M13" s="49">
        <v>8753339.8699999992</v>
      </c>
      <c r="N13" s="50">
        <f>C13-M13</f>
        <v>2517263.7200000007</v>
      </c>
      <c r="O13" s="49">
        <v>457.48</v>
      </c>
      <c r="P13" s="39">
        <v>457.48</v>
      </c>
      <c r="Q13" s="39">
        <v>0</v>
      </c>
      <c r="R13" s="39">
        <v>702.72</v>
      </c>
      <c r="S13" s="119">
        <f>D13-G13</f>
        <v>2517.2637200000008</v>
      </c>
      <c r="T13" s="39"/>
      <c r="U13" s="10">
        <v>2562</v>
      </c>
      <c r="V13" s="24"/>
      <c r="W13" s="53" t="s">
        <v>3</v>
      </c>
      <c r="X13" s="39">
        <v>63200</v>
      </c>
      <c r="Y13" s="39"/>
      <c r="Z13" s="10">
        <v>313</v>
      </c>
      <c r="AA13" s="10"/>
      <c r="AB13" s="10">
        <v>388</v>
      </c>
      <c r="AC13" s="39">
        <v>0</v>
      </c>
      <c r="AD13" s="49">
        <v>63200</v>
      </c>
      <c r="AE13" s="39"/>
      <c r="AF13" s="39">
        <f>AJ13+AI13</f>
        <v>58683.98</v>
      </c>
      <c r="AG13" s="89">
        <f>X13-AF13</f>
        <v>4516.0199999999968</v>
      </c>
      <c r="AH13" s="39">
        <v>58683.98</v>
      </c>
      <c r="AI13" s="39">
        <v>0</v>
      </c>
      <c r="AJ13" s="53">
        <v>58683.98</v>
      </c>
      <c r="AK13" s="53">
        <v>68034.67</v>
      </c>
      <c r="AL13" s="121">
        <f t="shared" ref="AL13:AL18" si="0">Z13-AB13</f>
        <v>-75</v>
      </c>
      <c r="AM13" s="53"/>
      <c r="AN13" s="54">
        <v>78</v>
      </c>
    </row>
    <row r="14" spans="1:40" ht="17.25" x14ac:dyDescent="0.35">
      <c r="A14" s="39" t="s">
        <v>4</v>
      </c>
      <c r="B14" s="51">
        <v>5</v>
      </c>
      <c r="C14" s="39">
        <v>7065103.5999999996</v>
      </c>
      <c r="D14" s="10">
        <f>C14/1000</f>
        <v>7065.1035999999995</v>
      </c>
      <c r="E14" s="10">
        <f>M14</f>
        <v>5926104.46</v>
      </c>
      <c r="F14" s="10"/>
      <c r="G14" s="10">
        <f>E14/1000</f>
        <v>5926.1044599999996</v>
      </c>
      <c r="H14" s="39">
        <v>7065103.5999999996</v>
      </c>
      <c r="I14" s="39"/>
      <c r="J14" s="49" t="s">
        <v>49</v>
      </c>
      <c r="K14" s="49"/>
      <c r="L14" s="39"/>
      <c r="M14" s="49">
        <f>Q14+P14</f>
        <v>5926104.46</v>
      </c>
      <c r="N14" s="50">
        <f>C14-M14</f>
        <v>1138999.1399999997</v>
      </c>
      <c r="O14" s="49">
        <v>5926104.46</v>
      </c>
      <c r="P14" s="39">
        <v>5926104.46</v>
      </c>
      <c r="Q14" s="39">
        <v>0</v>
      </c>
      <c r="R14" s="39">
        <v>1631839.76</v>
      </c>
      <c r="S14" s="119">
        <f>D14-G14</f>
        <v>1138.9991399999999</v>
      </c>
      <c r="T14" s="39"/>
      <c r="U14" s="10">
        <v>1632</v>
      </c>
      <c r="V14" s="24"/>
      <c r="W14" s="53" t="s">
        <v>68</v>
      </c>
      <c r="X14" s="39"/>
      <c r="Y14" s="107">
        <v>7</v>
      </c>
      <c r="Z14" s="10">
        <v>3862</v>
      </c>
      <c r="AA14" s="10"/>
      <c r="AB14" s="10">
        <v>3244</v>
      </c>
      <c r="AC14" s="39">
        <v>472493.46</v>
      </c>
      <c r="AD14" s="49">
        <v>25101.5</v>
      </c>
      <c r="AE14" s="39"/>
      <c r="AF14" s="39">
        <f>AJ14+AI14</f>
        <v>929852.34</v>
      </c>
      <c r="AG14" s="89" t="e">
        <f>#REF!-AF14</f>
        <v>#REF!</v>
      </c>
      <c r="AH14" s="39">
        <v>929852.34</v>
      </c>
      <c r="AI14" s="39">
        <v>912872.71</v>
      </c>
      <c r="AJ14" s="53">
        <v>16979.63</v>
      </c>
      <c r="AK14" s="53">
        <v>381874.9</v>
      </c>
      <c r="AL14" s="121">
        <f t="shared" si="0"/>
        <v>618</v>
      </c>
      <c r="AM14" s="53"/>
      <c r="AN14" s="54">
        <v>2271</v>
      </c>
    </row>
    <row r="15" spans="1:40" ht="17.25" x14ac:dyDescent="0.35">
      <c r="A15" s="39" t="s">
        <v>5</v>
      </c>
      <c r="B15" s="51">
        <v>6</v>
      </c>
      <c r="C15" s="39">
        <v>33018.76</v>
      </c>
      <c r="D15" s="10">
        <v>124</v>
      </c>
      <c r="E15" s="10">
        <f>M15</f>
        <v>40006.5</v>
      </c>
      <c r="F15" s="10"/>
      <c r="G15" s="10">
        <v>215</v>
      </c>
      <c r="H15" s="39">
        <v>28963.03</v>
      </c>
      <c r="I15" s="39"/>
      <c r="J15" s="49">
        <v>4055.73</v>
      </c>
      <c r="K15" s="49"/>
      <c r="L15" s="39"/>
      <c r="M15" s="49">
        <f>Q15+P15</f>
        <v>40006.5</v>
      </c>
      <c r="N15" s="50">
        <f>C15-M15</f>
        <v>-6987.739999999998</v>
      </c>
      <c r="O15" s="49">
        <v>40006.5</v>
      </c>
      <c r="P15" s="39">
        <v>36680.54</v>
      </c>
      <c r="Q15" s="39">
        <v>3325.96</v>
      </c>
      <c r="R15" s="39">
        <v>11023.9</v>
      </c>
      <c r="S15" s="119">
        <f>D15-G15</f>
        <v>-91</v>
      </c>
      <c r="T15" s="39"/>
      <c r="U15" s="10">
        <v>66</v>
      </c>
      <c r="V15" s="24"/>
      <c r="W15" s="53" t="s">
        <v>70</v>
      </c>
      <c r="X15" s="39">
        <v>69555.59</v>
      </c>
      <c r="Y15" s="108"/>
      <c r="Z15" s="10">
        <v>2380</v>
      </c>
      <c r="AA15" s="10"/>
      <c r="AB15" s="10">
        <v>962</v>
      </c>
      <c r="AC15" s="39">
        <v>2938068.49</v>
      </c>
      <c r="AD15" s="49">
        <v>0</v>
      </c>
      <c r="AE15" s="39"/>
      <c r="AF15" s="39">
        <f>AJ15+AI15</f>
        <v>2938068.49</v>
      </c>
      <c r="AG15" s="89">
        <f>X16-AF15</f>
        <v>0</v>
      </c>
      <c r="AH15" s="39">
        <v>2938068.49</v>
      </c>
      <c r="AI15" s="39">
        <v>2938068.49</v>
      </c>
      <c r="AJ15" s="53">
        <v>0</v>
      </c>
      <c r="AK15" s="53"/>
      <c r="AL15" s="121">
        <f t="shared" si="0"/>
        <v>1418</v>
      </c>
      <c r="AM15" s="53"/>
      <c r="AN15" s="54">
        <v>402</v>
      </c>
    </row>
    <row r="16" spans="1:40" ht="17.25" x14ac:dyDescent="0.35">
      <c r="A16" s="39" t="s">
        <v>69</v>
      </c>
      <c r="B16" s="51">
        <v>7</v>
      </c>
      <c r="C16" s="39">
        <v>959077.87</v>
      </c>
      <c r="D16" s="10">
        <f>C16/1000</f>
        <v>959.07786999999996</v>
      </c>
      <c r="E16" s="10">
        <f>M16</f>
        <v>0</v>
      </c>
      <c r="F16" s="10"/>
      <c r="G16" s="10">
        <f>E16/1000</f>
        <v>0</v>
      </c>
      <c r="H16" s="39">
        <v>959077.87</v>
      </c>
      <c r="I16" s="39"/>
      <c r="J16" s="49">
        <v>0</v>
      </c>
      <c r="K16" s="49"/>
      <c r="L16" s="39"/>
      <c r="M16" s="49">
        <v>0</v>
      </c>
      <c r="N16" s="50">
        <f>C16-M16</f>
        <v>959077.87</v>
      </c>
      <c r="O16" s="49" t="s">
        <v>37</v>
      </c>
      <c r="P16" s="39">
        <v>0</v>
      </c>
      <c r="Q16" s="39">
        <v>0</v>
      </c>
      <c r="R16" s="39">
        <v>100062.65</v>
      </c>
      <c r="S16" s="119">
        <f>D16-G16</f>
        <v>959.07786999999996</v>
      </c>
      <c r="T16" s="39"/>
      <c r="U16" s="10">
        <v>100</v>
      </c>
      <c r="V16" s="24"/>
      <c r="W16" s="53" t="s">
        <v>6</v>
      </c>
      <c r="X16" s="39">
        <v>2938068.49</v>
      </c>
      <c r="Y16" s="107">
        <v>7</v>
      </c>
      <c r="Z16" s="10">
        <v>7844</v>
      </c>
      <c r="AA16" s="10"/>
      <c r="AB16" s="10">
        <v>2938</v>
      </c>
      <c r="AC16" s="39">
        <v>91001.03</v>
      </c>
      <c r="AD16" s="49">
        <v>20392.47</v>
      </c>
      <c r="AE16" s="39"/>
      <c r="AF16" s="39">
        <f>AJ16+AI16</f>
        <v>111321.61</v>
      </c>
      <c r="AG16" s="89">
        <f>X17-AF16</f>
        <v>71.889999999999418</v>
      </c>
      <c r="AH16" s="39">
        <v>111321.61</v>
      </c>
      <c r="AI16" s="39">
        <v>81719.34</v>
      </c>
      <c r="AJ16" s="53">
        <v>29602.27</v>
      </c>
      <c r="AK16" s="53">
        <v>63129.31</v>
      </c>
      <c r="AL16" s="121">
        <f t="shared" si="0"/>
        <v>4906</v>
      </c>
      <c r="AM16" s="53"/>
      <c r="AN16" s="54"/>
    </row>
    <row r="17" spans="1:41" ht="17.25" x14ac:dyDescent="0.35">
      <c r="A17" s="39"/>
      <c r="B17" s="39"/>
      <c r="C17" s="39"/>
      <c r="D17" s="10"/>
      <c r="E17" s="10"/>
      <c r="F17" s="10"/>
      <c r="G17" s="10"/>
      <c r="H17" s="39">
        <v>78145.69</v>
      </c>
      <c r="I17" s="39"/>
      <c r="J17" s="49">
        <v>4874.09</v>
      </c>
      <c r="K17" s="49"/>
      <c r="L17" s="76"/>
      <c r="M17" s="49">
        <f>Q17+P17</f>
        <v>2367.37</v>
      </c>
      <c r="N17" s="50">
        <f>C17-M17</f>
        <v>-2367.37</v>
      </c>
      <c r="O17" s="49">
        <v>2367.37</v>
      </c>
      <c r="P17" s="39">
        <v>2367.37</v>
      </c>
      <c r="Q17" s="39">
        <v>0</v>
      </c>
      <c r="R17" s="39">
        <v>19910.21</v>
      </c>
      <c r="S17" s="119">
        <f>D17-G17</f>
        <v>0</v>
      </c>
      <c r="T17" s="39"/>
      <c r="U17" s="10"/>
      <c r="V17" s="24"/>
      <c r="W17" s="53" t="s">
        <v>71</v>
      </c>
      <c r="X17" s="39">
        <v>111393.5</v>
      </c>
      <c r="Y17" s="108"/>
      <c r="Z17" s="10">
        <v>837</v>
      </c>
      <c r="AA17" s="10"/>
      <c r="AB17" s="10">
        <v>289</v>
      </c>
      <c r="AC17" s="39">
        <v>1253.6199999999999</v>
      </c>
      <c r="AD17" s="49">
        <v>5117070.93</v>
      </c>
      <c r="AE17" s="49"/>
      <c r="AF17" s="39">
        <f>AJ17+AI17</f>
        <v>929922.68</v>
      </c>
      <c r="AG17" s="89">
        <f>X18-AF17</f>
        <v>4188401.8699999996</v>
      </c>
      <c r="AH17" s="39">
        <v>929922.68</v>
      </c>
      <c r="AI17" s="39">
        <v>90600.29</v>
      </c>
      <c r="AJ17" s="53">
        <v>839322.39</v>
      </c>
      <c r="AK17" s="53"/>
      <c r="AL17" s="121">
        <f t="shared" si="0"/>
        <v>548</v>
      </c>
      <c r="AM17" s="53"/>
      <c r="AN17" s="54">
        <v>64</v>
      </c>
      <c r="AO17" s="11"/>
    </row>
    <row r="18" spans="1:41" ht="18" x14ac:dyDescent="0.35">
      <c r="A18" s="39"/>
      <c r="B18" s="39"/>
      <c r="C18" s="39"/>
      <c r="D18" s="10"/>
      <c r="E18" s="10"/>
      <c r="F18" s="10"/>
      <c r="G18" s="10"/>
      <c r="H18" s="39"/>
      <c r="I18" s="39"/>
      <c r="J18" s="49"/>
      <c r="K18" s="49"/>
      <c r="L18" s="32"/>
      <c r="M18" s="49"/>
      <c r="N18" s="50"/>
      <c r="O18" s="49"/>
      <c r="P18" s="39"/>
      <c r="Q18" s="53"/>
      <c r="R18" s="53"/>
      <c r="S18" s="119"/>
      <c r="T18" s="53"/>
      <c r="U18" s="54"/>
      <c r="V18" s="25" t="s">
        <v>9</v>
      </c>
      <c r="W18" s="53" t="s">
        <v>10</v>
      </c>
      <c r="X18" s="39">
        <v>5118324.55</v>
      </c>
      <c r="Y18" s="108"/>
      <c r="Z18" s="10">
        <f>5118-4180</f>
        <v>938</v>
      </c>
      <c r="AA18" s="10"/>
      <c r="AB18" s="10">
        <f>930+711</f>
        <v>1641</v>
      </c>
      <c r="AC18" s="69">
        <v>1331195.3799999999</v>
      </c>
      <c r="AD18" s="49"/>
      <c r="AE18" s="49"/>
      <c r="AF18" s="39"/>
      <c r="AG18" s="89" t="e">
        <f>#REF!-AF18</f>
        <v>#REF!</v>
      </c>
      <c r="AH18" s="39"/>
      <c r="AI18" s="39"/>
      <c r="AJ18" s="53"/>
      <c r="AK18" s="53"/>
      <c r="AL18" s="121">
        <f t="shared" si="0"/>
        <v>-703</v>
      </c>
      <c r="AM18" s="53"/>
      <c r="AN18" s="54">
        <v>779</v>
      </c>
      <c r="AO18" s="20"/>
    </row>
    <row r="19" spans="1:41" ht="17.25" x14ac:dyDescent="0.35">
      <c r="A19" s="39"/>
      <c r="B19" s="39"/>
      <c r="C19" s="39"/>
      <c r="D19" s="10"/>
      <c r="E19" s="10"/>
      <c r="F19" s="10"/>
      <c r="G19" s="10"/>
      <c r="H19" s="39"/>
      <c r="I19" s="39"/>
      <c r="J19" s="49"/>
      <c r="K19" s="49"/>
      <c r="L19" s="32"/>
      <c r="M19" s="49"/>
      <c r="N19" s="50"/>
      <c r="O19" s="49"/>
      <c r="P19" s="39"/>
      <c r="Q19" s="53"/>
      <c r="R19" s="53"/>
      <c r="S19" s="119"/>
      <c r="T19" s="53"/>
      <c r="U19" s="54"/>
      <c r="V19" s="24"/>
      <c r="W19" s="53" t="s">
        <v>84</v>
      </c>
      <c r="X19" s="39"/>
      <c r="Y19" s="48"/>
      <c r="Z19" s="10">
        <v>4180</v>
      </c>
      <c r="AA19" s="10"/>
      <c r="AB19" s="10">
        <v>0</v>
      </c>
      <c r="AC19" s="69"/>
      <c r="AD19" s="49"/>
      <c r="AE19" s="49"/>
      <c r="AF19" s="39"/>
      <c r="AG19" s="89"/>
      <c r="AH19" s="39"/>
      <c r="AI19" s="39"/>
      <c r="AJ19" s="39"/>
      <c r="AK19" s="39"/>
      <c r="AL19" s="140"/>
      <c r="AM19" s="39"/>
      <c r="AN19" s="10">
        <v>0</v>
      </c>
      <c r="AO19" s="11"/>
    </row>
    <row r="20" spans="1:41" ht="17.25" x14ac:dyDescent="0.35">
      <c r="A20" s="39"/>
      <c r="B20" s="39"/>
      <c r="C20" s="55"/>
      <c r="D20" s="52"/>
      <c r="E20" s="10"/>
      <c r="F20" s="10"/>
      <c r="G20" s="52"/>
      <c r="H20" s="55">
        <v>5730.98</v>
      </c>
      <c r="I20" s="55"/>
      <c r="J20" s="56">
        <v>2744.44</v>
      </c>
      <c r="K20" s="49"/>
      <c r="L20" s="39"/>
      <c r="M20" s="56">
        <f>Q20+P20</f>
        <v>172894.86000000002</v>
      </c>
      <c r="N20" s="50">
        <f t="shared" ref="N20:N25" si="1">C20-M20</f>
        <v>-172894.86000000002</v>
      </c>
      <c r="O20" s="56">
        <v>172894.86</v>
      </c>
      <c r="P20" s="55">
        <v>3418.32</v>
      </c>
      <c r="Q20" s="55">
        <v>169476.54</v>
      </c>
      <c r="R20" s="55">
        <v>2673.91</v>
      </c>
      <c r="S20" s="119">
        <f t="shared" ref="S20:S25" si="2">D20-G20</f>
        <v>0</v>
      </c>
      <c r="T20" s="55"/>
      <c r="U20" s="52"/>
      <c r="V20" s="24"/>
      <c r="W20" s="28"/>
      <c r="X20" s="28"/>
      <c r="Y20" s="28"/>
      <c r="Z20" s="52"/>
      <c r="AA20" s="10"/>
      <c r="AB20" s="52"/>
      <c r="AC20" s="70"/>
      <c r="AD20" s="60"/>
      <c r="AE20" s="60"/>
      <c r="AF20" s="39">
        <f>AJ20+AI20</f>
        <v>0</v>
      </c>
      <c r="AG20" s="89">
        <f>X20-AF20</f>
        <v>0</v>
      </c>
      <c r="AH20" s="39"/>
      <c r="AI20" s="70"/>
      <c r="AJ20" s="70"/>
      <c r="AK20" s="70"/>
      <c r="AL20" s="140">
        <f>Z20-AB20</f>
        <v>0</v>
      </c>
      <c r="AM20" s="70"/>
      <c r="AN20" s="10"/>
      <c r="AO20" s="1"/>
    </row>
    <row r="21" spans="1:41" ht="17.25" x14ac:dyDescent="0.35">
      <c r="A21" s="28" t="s">
        <v>8</v>
      </c>
      <c r="B21" s="28"/>
      <c r="C21" s="57">
        <f>SUM(C13:C20)</f>
        <v>19327803.82</v>
      </c>
      <c r="D21" s="58">
        <f>SUM(D13:D20)</f>
        <v>19418.785060000002</v>
      </c>
      <c r="E21" s="10">
        <f>M21</f>
        <v>14894713.059999997</v>
      </c>
      <c r="F21" s="10"/>
      <c r="G21" s="59">
        <f>E21/1000</f>
        <v>14894.713059999996</v>
      </c>
      <c r="H21" s="57">
        <f>SUM(H13:H20)</f>
        <v>8137701.1700000009</v>
      </c>
      <c r="I21" s="57"/>
      <c r="J21" s="60">
        <f>SUM(J13:J20)</f>
        <v>11674.26</v>
      </c>
      <c r="K21" s="60"/>
      <c r="L21" s="60"/>
      <c r="M21" s="60">
        <f>SUM(M13:M20)</f>
        <v>14894713.059999997</v>
      </c>
      <c r="N21" s="50">
        <f t="shared" si="1"/>
        <v>4433090.7600000035</v>
      </c>
      <c r="O21" s="60">
        <f>SUM(O13:O20)</f>
        <v>6141830.6700000009</v>
      </c>
      <c r="P21" s="60">
        <f>SUM(P13:P20)</f>
        <v>5969028.1700000009</v>
      </c>
      <c r="Q21" s="60">
        <f>SUM(Q13:Q20)</f>
        <v>172802.5</v>
      </c>
      <c r="R21" s="60">
        <f>SUM(R13:R20)</f>
        <v>1766213.1499999997</v>
      </c>
      <c r="S21" s="119">
        <f t="shared" si="2"/>
        <v>4524.0720000000056</v>
      </c>
      <c r="T21" s="60"/>
      <c r="U21" s="58">
        <f>SUM(U13:U20)</f>
        <v>4360</v>
      </c>
      <c r="V21" s="24"/>
      <c r="W21" s="28" t="s">
        <v>13</v>
      </c>
      <c r="X21" s="90">
        <f>SUM(X13:X20)</f>
        <v>8300542.1299999999</v>
      </c>
      <c r="Y21" s="90"/>
      <c r="Z21" s="59">
        <f>SUM(Z13:Z20)</f>
        <v>20354</v>
      </c>
      <c r="AA21" s="59"/>
      <c r="AB21" s="59">
        <f>SUM(AB13:AB20)</f>
        <v>9462</v>
      </c>
      <c r="AC21" s="30">
        <f>SUM(AC13:AC20)</f>
        <v>4834011.9800000004</v>
      </c>
      <c r="AD21" s="30">
        <f>SUM(AD13:AD20)</f>
        <v>5225764.8999999994</v>
      </c>
      <c r="AE21" s="30"/>
      <c r="AF21" s="70">
        <f>AJ21+AI21</f>
        <v>4967849.0999999996</v>
      </c>
      <c r="AG21" s="70">
        <f>X21-AF21</f>
        <v>3332693.0300000003</v>
      </c>
      <c r="AH21" s="70">
        <f>SUM(AH13:AH20)</f>
        <v>4967849.0999999996</v>
      </c>
      <c r="AI21" s="30">
        <f>SUM(AI13:AI20)</f>
        <v>4023260.83</v>
      </c>
      <c r="AJ21" s="30">
        <f>SUM(AJ13:AJ20)</f>
        <v>944588.27</v>
      </c>
      <c r="AK21" s="30">
        <f>SUM(AK13:AK20)</f>
        <v>513038.88</v>
      </c>
      <c r="AL21" s="121">
        <f>Z21-AB21</f>
        <v>10892</v>
      </c>
      <c r="AM21" s="30"/>
      <c r="AN21" s="91">
        <f>AN19+AN18+AN17+AN16+AN15+AN14+AN13</f>
        <v>3594</v>
      </c>
      <c r="AO21" s="1"/>
    </row>
    <row r="22" spans="1:41" ht="17.25" x14ac:dyDescent="0.35">
      <c r="A22" s="28"/>
      <c r="B22" s="28"/>
      <c r="C22" s="60"/>
      <c r="D22" s="58"/>
      <c r="E22" s="10"/>
      <c r="F22" s="10"/>
      <c r="G22" s="10"/>
      <c r="H22" s="60"/>
      <c r="I22" s="60"/>
      <c r="J22" s="60"/>
      <c r="K22" s="60"/>
      <c r="L22" s="60"/>
      <c r="M22" s="60"/>
      <c r="N22" s="50">
        <f t="shared" si="1"/>
        <v>0</v>
      </c>
      <c r="O22" s="60"/>
      <c r="P22" s="60"/>
      <c r="Q22" s="60"/>
      <c r="R22" s="60"/>
      <c r="S22" s="119">
        <f t="shared" si="2"/>
        <v>0</v>
      </c>
      <c r="T22" s="60"/>
      <c r="U22" s="60"/>
      <c r="V22" s="24"/>
      <c r="W22" s="84"/>
      <c r="X22" s="53"/>
      <c r="Y22" s="53"/>
      <c r="Z22" s="10"/>
      <c r="AA22" s="10"/>
      <c r="AB22" s="10"/>
      <c r="AC22" s="53"/>
      <c r="AD22" s="43"/>
      <c r="AE22" s="49"/>
      <c r="AF22" s="49"/>
      <c r="AG22" s="89"/>
      <c r="AH22" s="49"/>
      <c r="AI22" s="53"/>
      <c r="AJ22" s="53"/>
      <c r="AK22" s="53"/>
      <c r="AL22" s="121"/>
      <c r="AM22" s="53"/>
      <c r="AN22" s="53"/>
      <c r="AO22" s="1"/>
    </row>
    <row r="23" spans="1:41" ht="17.25" x14ac:dyDescent="0.35">
      <c r="A23" s="28" t="s">
        <v>11</v>
      </c>
      <c r="B23" s="28"/>
      <c r="C23" s="28"/>
      <c r="D23" s="61"/>
      <c r="E23" s="10"/>
      <c r="F23" s="10"/>
      <c r="G23" s="10"/>
      <c r="H23" s="28"/>
      <c r="I23" s="28"/>
      <c r="J23" s="49"/>
      <c r="K23" s="49"/>
      <c r="L23" s="62" t="s">
        <v>12</v>
      </c>
      <c r="M23" s="49"/>
      <c r="N23" s="50">
        <f t="shared" si="1"/>
        <v>0</v>
      </c>
      <c r="O23" s="49"/>
      <c r="P23" s="28"/>
      <c r="Q23" s="62"/>
      <c r="R23" s="62"/>
      <c r="S23" s="119">
        <f t="shared" si="2"/>
        <v>0</v>
      </c>
      <c r="T23" s="62"/>
      <c r="U23" s="62"/>
      <c r="V23" s="24"/>
      <c r="W23" s="84"/>
      <c r="X23" s="53"/>
      <c r="Y23" s="53"/>
      <c r="Z23" s="10"/>
      <c r="AA23" s="10"/>
      <c r="AB23" s="10"/>
      <c r="AC23" s="53"/>
      <c r="AD23" s="43"/>
      <c r="AE23" s="39"/>
      <c r="AF23" s="39"/>
      <c r="AG23" s="89"/>
      <c r="AH23" s="39"/>
      <c r="AI23" s="53"/>
      <c r="AJ23" s="53"/>
      <c r="AK23" s="53"/>
      <c r="AL23" s="121"/>
      <c r="AM23" s="53"/>
      <c r="AN23" s="53"/>
      <c r="AO23" s="1"/>
    </row>
    <row r="24" spans="1:41" ht="17.25" x14ac:dyDescent="0.35">
      <c r="A24" s="53"/>
      <c r="B24" s="53"/>
      <c r="C24" s="53"/>
      <c r="D24" s="54"/>
      <c r="E24" s="10"/>
      <c r="F24" s="10"/>
      <c r="G24" s="10"/>
      <c r="H24" s="53">
        <v>0</v>
      </c>
      <c r="I24" s="53"/>
      <c r="J24" s="49">
        <v>0</v>
      </c>
      <c r="K24" s="49"/>
      <c r="L24" s="39"/>
      <c r="M24" s="49">
        <v>0</v>
      </c>
      <c r="N24" s="50">
        <f t="shared" si="1"/>
        <v>0</v>
      </c>
      <c r="O24" s="49"/>
      <c r="P24" s="53">
        <v>0</v>
      </c>
      <c r="Q24" s="39">
        <v>0</v>
      </c>
      <c r="R24" s="39"/>
      <c r="S24" s="119">
        <f t="shared" si="2"/>
        <v>0</v>
      </c>
      <c r="T24" s="39"/>
      <c r="U24" s="39"/>
      <c r="V24" s="24"/>
      <c r="W24" s="28" t="s">
        <v>16</v>
      </c>
      <c r="X24" s="53"/>
      <c r="Y24" s="53"/>
      <c r="Z24" s="10"/>
      <c r="AA24" s="10"/>
      <c r="AB24" s="10"/>
      <c r="AC24" s="53"/>
      <c r="AD24" s="46"/>
      <c r="AE24" s="39"/>
      <c r="AF24" s="39"/>
      <c r="AG24" s="89"/>
      <c r="AH24" s="39"/>
      <c r="AI24" s="53"/>
      <c r="AJ24" s="28"/>
      <c r="AK24" s="28"/>
      <c r="AL24" s="121"/>
      <c r="AM24" s="28"/>
      <c r="AN24" s="28"/>
      <c r="AO24" s="1"/>
    </row>
    <row r="25" spans="1:41" ht="17.25" x14ac:dyDescent="0.35">
      <c r="A25" s="53" t="s">
        <v>14</v>
      </c>
      <c r="B25" s="53"/>
      <c r="C25" s="53">
        <v>81.31</v>
      </c>
      <c r="D25" s="54">
        <v>0</v>
      </c>
      <c r="E25" s="10">
        <f>M25</f>
        <v>11379.13</v>
      </c>
      <c r="F25" s="10"/>
      <c r="G25" s="10">
        <f>E25/1000</f>
        <v>11.37913</v>
      </c>
      <c r="H25" s="53">
        <v>81.31</v>
      </c>
      <c r="I25" s="53"/>
      <c r="J25" s="46">
        <v>0</v>
      </c>
      <c r="K25" s="46"/>
      <c r="L25" s="39"/>
      <c r="M25" s="46">
        <f>Q25+P25</f>
        <v>11379.13</v>
      </c>
      <c r="N25" s="50">
        <f t="shared" si="1"/>
        <v>-11297.82</v>
      </c>
      <c r="O25" s="46">
        <v>11379.13</v>
      </c>
      <c r="P25" s="53">
        <v>11379.13</v>
      </c>
      <c r="Q25" s="39">
        <v>0</v>
      </c>
      <c r="R25" s="39">
        <v>11379.13</v>
      </c>
      <c r="S25" s="119">
        <f t="shared" si="2"/>
        <v>-11.37913</v>
      </c>
      <c r="T25" s="39"/>
      <c r="U25" s="10">
        <v>11</v>
      </c>
      <c r="V25" s="24"/>
      <c r="W25" s="53" t="s">
        <v>72</v>
      </c>
      <c r="X25" s="53"/>
      <c r="Y25" s="110">
        <v>17</v>
      </c>
      <c r="Z25" s="10">
        <v>56</v>
      </c>
      <c r="AA25" s="10"/>
      <c r="AB25" s="10">
        <v>46</v>
      </c>
      <c r="AC25" s="39">
        <v>0</v>
      </c>
      <c r="AD25" s="46">
        <v>118427548.03</v>
      </c>
      <c r="AE25" s="39"/>
      <c r="AF25" s="39">
        <f>AJ25+AI25</f>
        <v>470257.85</v>
      </c>
      <c r="AG25" s="89">
        <f>X27-AF25</f>
        <v>117957290.18000001</v>
      </c>
      <c r="AH25" s="39">
        <f>AK25+AJ25</f>
        <v>470257.85</v>
      </c>
      <c r="AI25" s="39">
        <v>0</v>
      </c>
      <c r="AJ25" s="53">
        <v>470257.85</v>
      </c>
      <c r="AK25" s="53"/>
      <c r="AL25" s="121">
        <f>Z25-AB25</f>
        <v>10</v>
      </c>
      <c r="AM25" s="53"/>
      <c r="AN25" s="53">
        <v>0</v>
      </c>
      <c r="AO25" s="1"/>
    </row>
    <row r="26" spans="1:41" ht="17.25" x14ac:dyDescent="0.35">
      <c r="A26" s="53" t="s">
        <v>83</v>
      </c>
      <c r="B26" s="53"/>
      <c r="C26" s="53"/>
      <c r="D26" s="54">
        <v>67577</v>
      </c>
      <c r="E26" s="10"/>
      <c r="F26" s="10"/>
      <c r="G26" s="10"/>
      <c r="H26" s="53"/>
      <c r="I26" s="53"/>
      <c r="J26" s="46"/>
      <c r="K26" s="46"/>
      <c r="L26" s="39"/>
      <c r="M26" s="46"/>
      <c r="N26" s="50"/>
      <c r="O26" s="46"/>
      <c r="P26" s="53"/>
      <c r="Q26" s="39"/>
      <c r="R26" s="39"/>
      <c r="S26" s="119"/>
      <c r="T26" s="39"/>
      <c r="U26" s="10"/>
      <c r="V26" s="24"/>
      <c r="W26" s="53" t="s">
        <v>84</v>
      </c>
      <c r="X26" s="53"/>
      <c r="Y26" s="110"/>
      <c r="Z26" s="10">
        <v>118021</v>
      </c>
      <c r="AA26" s="10"/>
      <c r="AB26" s="10">
        <v>22609</v>
      </c>
      <c r="AC26" s="39"/>
      <c r="AD26" s="46"/>
      <c r="AE26" s="39"/>
      <c r="AF26" s="39"/>
      <c r="AG26" s="89"/>
      <c r="AH26" s="39"/>
      <c r="AI26" s="39"/>
      <c r="AJ26" s="53"/>
      <c r="AK26" s="53"/>
      <c r="AL26" s="121"/>
      <c r="AM26" s="53"/>
      <c r="AN26" s="54">
        <f>3603</f>
        <v>3603</v>
      </c>
      <c r="AO26" s="1"/>
    </row>
    <row r="27" spans="1:41" ht="17.25" x14ac:dyDescent="0.35">
      <c r="A27" s="53" t="s">
        <v>15</v>
      </c>
      <c r="B27" s="53"/>
      <c r="C27" s="55">
        <v>0</v>
      </c>
      <c r="D27" s="52">
        <v>0</v>
      </c>
      <c r="E27" s="10">
        <f>M27</f>
        <v>2973.14</v>
      </c>
      <c r="F27" s="10"/>
      <c r="G27" s="52">
        <f>E27/1000</f>
        <v>2.9731399999999999</v>
      </c>
      <c r="H27" s="55">
        <v>0</v>
      </c>
      <c r="I27" s="55"/>
      <c r="J27" s="63">
        <v>0</v>
      </c>
      <c r="K27" s="46"/>
      <c r="L27" s="39"/>
      <c r="M27" s="63">
        <f>Q27+P29</f>
        <v>2973.14</v>
      </c>
      <c r="N27" s="50">
        <f>C27-M27</f>
        <v>-2973.14</v>
      </c>
      <c r="O27" s="63">
        <v>2973.14</v>
      </c>
      <c r="P27" s="55">
        <v>0</v>
      </c>
      <c r="Q27" s="55">
        <v>2973.14</v>
      </c>
      <c r="R27" s="55" t="s">
        <v>49</v>
      </c>
      <c r="S27" s="119">
        <f>D27-G27</f>
        <v>-2.9731399999999999</v>
      </c>
      <c r="T27" s="39"/>
      <c r="U27" s="52"/>
      <c r="V27" s="24"/>
      <c r="W27" s="53" t="s">
        <v>7</v>
      </c>
      <c r="X27" s="39">
        <v>118427548.03</v>
      </c>
      <c r="Y27" s="111">
        <v>17</v>
      </c>
      <c r="Z27" s="10">
        <v>407</v>
      </c>
      <c r="AA27" s="10"/>
      <c r="AB27" s="10">
        <f>AF25/1000</f>
        <v>470.25784999999996</v>
      </c>
      <c r="AC27" s="39">
        <v>0</v>
      </c>
      <c r="AD27" s="49">
        <v>0</v>
      </c>
      <c r="AE27" s="39"/>
      <c r="AF27" s="39">
        <f>AJ27+AI27</f>
        <v>6257189.3799999999</v>
      </c>
      <c r="AG27" s="89">
        <f>X28-AF27</f>
        <v>-6257189.3799999999</v>
      </c>
      <c r="AH27" s="39">
        <v>6257189.3799999999</v>
      </c>
      <c r="AI27" s="39">
        <v>6257189.3799999999</v>
      </c>
      <c r="AJ27" s="53">
        <v>0</v>
      </c>
      <c r="AK27" s="53">
        <v>5170979.34</v>
      </c>
      <c r="AL27" s="121">
        <f t="shared" ref="AL27:AL47" si="3">Z27-AB27</f>
        <v>-63.257849999999962</v>
      </c>
      <c r="AM27" s="53"/>
      <c r="AN27" s="53"/>
      <c r="AO27" s="1"/>
    </row>
    <row r="28" spans="1:41" ht="17.25" x14ac:dyDescent="0.35">
      <c r="A28" s="53"/>
      <c r="B28" s="53"/>
      <c r="C28" s="39"/>
      <c r="D28" s="10"/>
      <c r="E28" s="10"/>
      <c r="F28" s="10"/>
      <c r="G28" s="10"/>
      <c r="H28" s="39"/>
      <c r="I28" s="39"/>
      <c r="J28" s="46"/>
      <c r="K28" s="46"/>
      <c r="L28" s="39"/>
      <c r="M28" s="46"/>
      <c r="N28" s="50"/>
      <c r="O28" s="46"/>
      <c r="P28" s="39"/>
      <c r="Q28" s="39"/>
      <c r="R28" s="39"/>
      <c r="S28" s="119"/>
      <c r="T28" s="39"/>
      <c r="U28" s="10"/>
      <c r="V28" s="24"/>
      <c r="W28" s="53" t="s">
        <v>17</v>
      </c>
      <c r="X28" s="39">
        <v>0</v>
      </c>
      <c r="Y28" s="9">
        <v>7</v>
      </c>
      <c r="Z28" s="10">
        <f>X28/1000</f>
        <v>0</v>
      </c>
      <c r="AA28" s="10"/>
      <c r="AB28" s="10">
        <f>AF27/1000</f>
        <v>6257.1893799999998</v>
      </c>
      <c r="AC28" s="39">
        <v>17272844.989999998</v>
      </c>
      <c r="AD28" s="49">
        <v>0</v>
      </c>
      <c r="AE28" s="49"/>
      <c r="AF28" s="39">
        <f>AJ28+AI28</f>
        <v>15466771.189999999</v>
      </c>
      <c r="AG28" s="89">
        <f>X29-AF28</f>
        <v>1806073.7999999989</v>
      </c>
      <c r="AH28" s="39">
        <v>15466771.189999999</v>
      </c>
      <c r="AI28" s="39">
        <v>15466771.189999999</v>
      </c>
      <c r="AJ28" s="53">
        <v>0</v>
      </c>
      <c r="AK28" s="53"/>
      <c r="AL28" s="121">
        <f t="shared" si="3"/>
        <v>-6257.1893799999998</v>
      </c>
      <c r="AM28" s="53"/>
      <c r="AN28" s="54">
        <v>5171</v>
      </c>
      <c r="AO28" s="1"/>
    </row>
    <row r="29" spans="1:41" ht="17.25" x14ac:dyDescent="0.35">
      <c r="A29" s="32"/>
      <c r="B29" s="32"/>
      <c r="C29" s="32"/>
      <c r="D29" s="64"/>
      <c r="E29" s="10">
        <f>M29</f>
        <v>0</v>
      </c>
      <c r="F29" s="10"/>
      <c r="G29" s="10"/>
      <c r="H29" s="32"/>
      <c r="I29" s="32"/>
      <c r="J29" s="46"/>
      <c r="K29" s="46"/>
      <c r="L29" s="39"/>
      <c r="M29" s="46"/>
      <c r="N29" s="50">
        <f t="shared" ref="N29:N39" si="4">C29-M29</f>
        <v>0</v>
      </c>
      <c r="O29" s="46"/>
      <c r="P29" s="32"/>
      <c r="Q29" s="39"/>
      <c r="R29" s="39"/>
      <c r="S29" s="119">
        <f t="shared" ref="S29:S49" si="5">D29-G29</f>
        <v>0</v>
      </c>
      <c r="T29" s="39"/>
      <c r="U29" s="10"/>
      <c r="V29" s="24"/>
      <c r="W29" s="53" t="s">
        <v>18</v>
      </c>
      <c r="X29" s="39">
        <v>17272844.989999998</v>
      </c>
      <c r="Y29" s="9">
        <v>7</v>
      </c>
      <c r="Z29" s="10">
        <f>X29/1000</f>
        <v>17272.844989999998</v>
      </c>
      <c r="AA29" s="10"/>
      <c r="AB29" s="10">
        <f>AF28/1000</f>
        <v>15466.771189999999</v>
      </c>
      <c r="AC29" s="39">
        <v>2164917.33</v>
      </c>
      <c r="AD29" s="49">
        <v>0</v>
      </c>
      <c r="AE29" s="49"/>
      <c r="AF29" s="39">
        <f>AJ29+AI29</f>
        <v>1114517.33</v>
      </c>
      <c r="AG29" s="89">
        <f>X30-AF29</f>
        <v>1050400</v>
      </c>
      <c r="AH29" s="39">
        <v>1114517.33</v>
      </c>
      <c r="AI29" s="39">
        <v>1114517.33</v>
      </c>
      <c r="AJ29" s="53">
        <v>0</v>
      </c>
      <c r="AK29" s="53"/>
      <c r="AL29" s="121">
        <f t="shared" si="3"/>
        <v>1806.0737999999983</v>
      </c>
      <c r="AM29" s="53"/>
      <c r="AN29" s="53"/>
      <c r="AO29" s="1"/>
    </row>
    <row r="30" spans="1:41" ht="18" thickBot="1" x14ac:dyDescent="0.4">
      <c r="A30" s="28"/>
      <c r="B30" s="28"/>
      <c r="C30" s="65">
        <v>81.31</v>
      </c>
      <c r="D30" s="66">
        <f>SUM(D25:D27)</f>
        <v>67577</v>
      </c>
      <c r="E30" s="10">
        <f>M30</f>
        <v>14352.269999999999</v>
      </c>
      <c r="F30" s="10"/>
      <c r="G30" s="10">
        <f>E30/1000</f>
        <v>14.352269999999999</v>
      </c>
      <c r="H30" s="65">
        <f>SUM(H24:H29)</f>
        <v>81.31</v>
      </c>
      <c r="I30" s="65"/>
      <c r="J30" s="65">
        <f>SUM(J24:J29)</f>
        <v>0</v>
      </c>
      <c r="K30" s="67"/>
      <c r="L30" s="67"/>
      <c r="M30" s="65">
        <f>SUM(M24:M29)</f>
        <v>14352.269999999999</v>
      </c>
      <c r="N30" s="50">
        <f t="shared" si="4"/>
        <v>-14270.96</v>
      </c>
      <c r="O30" s="65">
        <f>SUM(O25:O29)</f>
        <v>14352.269999999999</v>
      </c>
      <c r="P30" s="65">
        <f>SUM(P24:P29)</f>
        <v>11379.13</v>
      </c>
      <c r="Q30" s="65">
        <f>SUM(Q24:Q29)</f>
        <v>2973.14</v>
      </c>
      <c r="R30" s="65">
        <f>R25</f>
        <v>11379.13</v>
      </c>
      <c r="S30" s="119">
        <f t="shared" si="5"/>
        <v>67562.647729999997</v>
      </c>
      <c r="T30" s="67"/>
      <c r="U30" s="66">
        <v>11</v>
      </c>
      <c r="V30" s="24"/>
      <c r="W30" s="53" t="s">
        <v>19</v>
      </c>
      <c r="X30" s="39">
        <v>2164917.33</v>
      </c>
      <c r="Y30" s="97">
        <v>7</v>
      </c>
      <c r="Z30" s="52">
        <f>X30/1000</f>
        <v>2164.9173300000002</v>
      </c>
      <c r="AA30" s="52"/>
      <c r="AB30" s="52">
        <f>AF29/1000</f>
        <v>1114.5173300000001</v>
      </c>
      <c r="AC30" s="55"/>
      <c r="AD30" s="56">
        <v>0</v>
      </c>
      <c r="AE30" s="49"/>
      <c r="AF30" s="55">
        <f>AJ30+AI30</f>
        <v>0</v>
      </c>
      <c r="AG30" s="89">
        <f>X31-AF30</f>
        <v>0</v>
      </c>
      <c r="AH30" s="55"/>
      <c r="AI30" s="55"/>
      <c r="AJ30" s="92">
        <v>0</v>
      </c>
      <c r="AK30" s="92"/>
      <c r="AL30" s="121">
        <f t="shared" si="3"/>
        <v>1050.4000000000001</v>
      </c>
      <c r="AM30" s="92"/>
      <c r="AN30" s="92"/>
      <c r="AO30" s="1"/>
    </row>
    <row r="31" spans="1:41" ht="18" thickTop="1" x14ac:dyDescent="0.35">
      <c r="A31" s="32"/>
      <c r="B31" s="32"/>
      <c r="C31" s="32"/>
      <c r="D31" s="64"/>
      <c r="E31" s="10"/>
      <c r="F31" s="10"/>
      <c r="G31" s="10"/>
      <c r="H31" s="32"/>
      <c r="I31" s="32"/>
      <c r="J31" s="32"/>
      <c r="K31" s="32"/>
      <c r="L31" s="39"/>
      <c r="M31" s="32"/>
      <c r="N31" s="50">
        <f t="shared" si="4"/>
        <v>0</v>
      </c>
      <c r="O31" s="32"/>
      <c r="P31" s="32"/>
      <c r="Q31" s="39"/>
      <c r="R31" s="39"/>
      <c r="S31" s="119">
        <f t="shared" si="5"/>
        <v>0</v>
      </c>
      <c r="T31" s="39"/>
      <c r="U31" s="39"/>
      <c r="V31" s="24"/>
      <c r="W31" s="28"/>
      <c r="X31" s="55"/>
      <c r="Y31" s="10"/>
      <c r="Z31" s="10"/>
      <c r="AA31" s="10"/>
      <c r="AB31" s="10"/>
      <c r="AC31" s="53"/>
      <c r="AD31" s="60"/>
      <c r="AE31" s="70"/>
      <c r="AF31" s="39">
        <f>AJ31+AI31</f>
        <v>0</v>
      </c>
      <c r="AG31" s="89" t="e">
        <f>#REF!-AF31</f>
        <v>#REF!</v>
      </c>
      <c r="AH31" s="39"/>
      <c r="AI31" s="53"/>
      <c r="AJ31" s="28"/>
      <c r="AK31" s="28"/>
      <c r="AL31" s="121">
        <f t="shared" si="3"/>
        <v>0</v>
      </c>
      <c r="AM31" s="28"/>
      <c r="AN31" s="28"/>
      <c r="AO31" s="11"/>
    </row>
    <row r="32" spans="1:41" ht="17.25" x14ac:dyDescent="0.35">
      <c r="A32" s="39" t="s">
        <v>20</v>
      </c>
      <c r="B32" s="109">
        <v>8</v>
      </c>
      <c r="C32" s="69">
        <v>188898341.66</v>
      </c>
      <c r="D32" s="10">
        <v>121321</v>
      </c>
      <c r="E32" s="10">
        <f t="shared" ref="E32:E39" si="6">M32</f>
        <v>173040319.72</v>
      </c>
      <c r="F32" s="10"/>
      <c r="G32" s="10">
        <f>173040-1018</f>
        <v>172022</v>
      </c>
      <c r="H32" s="69">
        <v>188898341.66</v>
      </c>
      <c r="I32" s="69"/>
      <c r="J32" s="46"/>
      <c r="K32" s="46"/>
      <c r="L32" s="39"/>
      <c r="M32" s="46">
        <f t="shared" ref="M32:M38" si="7">Q32+P32</f>
        <v>173040319.72</v>
      </c>
      <c r="N32" s="50">
        <f t="shared" si="4"/>
        <v>15858021.939999998</v>
      </c>
      <c r="O32" s="46">
        <v>173040319.72</v>
      </c>
      <c r="P32" s="39">
        <v>173040319.72</v>
      </c>
      <c r="Q32" s="39"/>
      <c r="R32" s="39">
        <v>236114602.90000001</v>
      </c>
      <c r="S32" s="119">
        <f t="shared" si="5"/>
        <v>-50701</v>
      </c>
      <c r="T32" s="39"/>
      <c r="U32" s="10">
        <v>236115</v>
      </c>
      <c r="V32" s="24"/>
      <c r="W32" s="28" t="s">
        <v>73</v>
      </c>
      <c r="X32" s="53"/>
      <c r="Y32" s="53"/>
      <c r="Z32" s="59">
        <f>SUM(Z24:Z30)</f>
        <v>137921.76232000001</v>
      </c>
      <c r="AA32" s="59"/>
      <c r="AB32" s="59">
        <f>SUM(AB24:AB30)</f>
        <v>45963.735750000007</v>
      </c>
      <c r="AC32" s="28"/>
      <c r="AD32" s="60"/>
      <c r="AE32" s="70"/>
      <c r="AF32" s="70"/>
      <c r="AG32" s="89">
        <f>X37-AF32</f>
        <v>0</v>
      </c>
      <c r="AH32" s="70"/>
      <c r="AI32" s="28"/>
      <c r="AJ32" s="28"/>
      <c r="AK32" s="28"/>
      <c r="AL32" s="121">
        <f t="shared" si="3"/>
        <v>91958.026570000002</v>
      </c>
      <c r="AM32" s="28"/>
      <c r="AN32" s="61">
        <f>SUM(AN25:AN30)</f>
        <v>8774</v>
      </c>
      <c r="AO32" s="11"/>
    </row>
    <row r="33" spans="1:45" ht="17.25" x14ac:dyDescent="0.35">
      <c r="A33" s="39" t="s">
        <v>21</v>
      </c>
      <c r="B33" s="51">
        <v>9</v>
      </c>
      <c r="C33" s="70"/>
      <c r="D33" s="10">
        <v>125799</v>
      </c>
      <c r="E33" s="10">
        <f t="shared" si="6"/>
        <v>0</v>
      </c>
      <c r="F33" s="10"/>
      <c r="G33" s="10">
        <v>130215</v>
      </c>
      <c r="H33" s="70"/>
      <c r="I33" s="70"/>
      <c r="J33" s="46"/>
      <c r="K33" s="46"/>
      <c r="L33" s="39"/>
      <c r="M33" s="46">
        <f t="shared" si="7"/>
        <v>0</v>
      </c>
      <c r="N33" s="50">
        <f t="shared" si="4"/>
        <v>0</v>
      </c>
      <c r="O33" s="46"/>
      <c r="P33" s="70"/>
      <c r="Q33" s="39"/>
      <c r="R33" s="39"/>
      <c r="S33" s="119">
        <f t="shared" si="5"/>
        <v>-4416</v>
      </c>
      <c r="T33" s="39"/>
      <c r="U33" s="10">
        <v>27294</v>
      </c>
      <c r="V33" s="24"/>
      <c r="W33" s="28"/>
      <c r="X33" s="53"/>
      <c r="Y33" s="53"/>
      <c r="Z33" s="10"/>
      <c r="AA33" s="10"/>
      <c r="AB33" s="10"/>
      <c r="AC33" s="53"/>
      <c r="AD33" s="49"/>
      <c r="AE33" s="39"/>
      <c r="AF33" s="39"/>
      <c r="AG33" s="89"/>
      <c r="AH33" s="39"/>
      <c r="AI33" s="53"/>
      <c r="AJ33" s="53"/>
      <c r="AK33" s="53"/>
      <c r="AL33" s="121">
        <f t="shared" si="3"/>
        <v>0</v>
      </c>
      <c r="AM33" s="53"/>
      <c r="AN33" s="54"/>
      <c r="AO33" s="11"/>
    </row>
    <row r="34" spans="1:45" ht="17.25" x14ac:dyDescent="0.35">
      <c r="A34" s="53" t="s">
        <v>22</v>
      </c>
      <c r="B34" s="71">
        <v>9</v>
      </c>
      <c r="C34" s="53"/>
      <c r="D34" s="10">
        <v>1927</v>
      </c>
      <c r="E34" s="10">
        <f t="shared" si="6"/>
        <v>120455497.43000001</v>
      </c>
      <c r="F34" s="10"/>
      <c r="G34" s="10">
        <v>0</v>
      </c>
      <c r="H34" s="53">
        <v>23181401.100000001</v>
      </c>
      <c r="I34" s="53"/>
      <c r="J34" s="46">
        <v>185323526.30000001</v>
      </c>
      <c r="K34" s="46"/>
      <c r="L34" s="49"/>
      <c r="M34" s="46">
        <f t="shared" si="7"/>
        <v>120455497.43000001</v>
      </c>
      <c r="N34" s="50">
        <f t="shared" si="4"/>
        <v>-120455497.43000001</v>
      </c>
      <c r="O34" s="47">
        <v>97845797.230000004</v>
      </c>
      <c r="P34" s="53">
        <v>23983439.280000001</v>
      </c>
      <c r="Q34" s="49">
        <v>96472058.150000006</v>
      </c>
      <c r="R34" s="50">
        <v>21883164.829999998</v>
      </c>
      <c r="S34" s="119">
        <f t="shared" si="5"/>
        <v>1927</v>
      </c>
      <c r="T34" s="50"/>
      <c r="U34" s="50"/>
      <c r="V34" s="24"/>
      <c r="W34" s="28"/>
      <c r="X34" s="53"/>
      <c r="Y34" s="53"/>
      <c r="Z34" s="10"/>
      <c r="AA34" s="10"/>
      <c r="AB34" s="10"/>
      <c r="AC34" s="53"/>
      <c r="AD34" s="49"/>
      <c r="AE34" s="39"/>
      <c r="AF34" s="39"/>
      <c r="AG34" s="89"/>
      <c r="AH34" s="39"/>
      <c r="AI34" s="53"/>
      <c r="AJ34" s="53"/>
      <c r="AK34" s="53"/>
      <c r="AL34" s="121">
        <f t="shared" si="3"/>
        <v>0</v>
      </c>
      <c r="AM34" s="53"/>
      <c r="AN34" s="54"/>
      <c r="AO34" s="11"/>
    </row>
    <row r="35" spans="1:45" ht="17.25" x14ac:dyDescent="0.35">
      <c r="A35" s="53" t="s">
        <v>61</v>
      </c>
      <c r="B35" s="71">
        <v>10</v>
      </c>
      <c r="C35" s="53"/>
      <c r="D35" s="10">
        <v>85106</v>
      </c>
      <c r="E35" s="10">
        <f t="shared" si="6"/>
        <v>1532082.68</v>
      </c>
      <c r="F35" s="10"/>
      <c r="G35" s="10">
        <f>113+22609</f>
        <v>22722</v>
      </c>
      <c r="H35" s="53">
        <v>1406918.71</v>
      </c>
      <c r="I35" s="53"/>
      <c r="J35" s="39">
        <v>0</v>
      </c>
      <c r="K35" s="39"/>
      <c r="L35" s="39"/>
      <c r="M35" s="46">
        <f t="shared" si="7"/>
        <v>1532082.68</v>
      </c>
      <c r="N35" s="50">
        <f t="shared" si="4"/>
        <v>-1532082.68</v>
      </c>
      <c r="O35" s="46">
        <v>1532082.68</v>
      </c>
      <c r="P35" s="53">
        <v>1532082.68</v>
      </c>
      <c r="Q35" s="39">
        <v>0</v>
      </c>
      <c r="R35" s="39">
        <v>1907834.91</v>
      </c>
      <c r="S35" s="119">
        <f t="shared" si="5"/>
        <v>62384</v>
      </c>
      <c r="T35" s="39"/>
      <c r="U35" s="10">
        <f>99+3603</f>
        <v>3702</v>
      </c>
      <c r="V35" s="24"/>
      <c r="W35" s="28"/>
      <c r="X35" s="53"/>
      <c r="Y35" s="53"/>
      <c r="Z35" s="10"/>
      <c r="AA35" s="10"/>
      <c r="AB35" s="10"/>
      <c r="AC35" s="53"/>
      <c r="AD35" s="49"/>
      <c r="AE35" s="39"/>
      <c r="AF35" s="39"/>
      <c r="AG35" s="89"/>
      <c r="AH35" s="39"/>
      <c r="AI35" s="53"/>
      <c r="AJ35" s="53"/>
      <c r="AK35" s="53"/>
      <c r="AL35" s="121">
        <f t="shared" si="3"/>
        <v>0</v>
      </c>
      <c r="AM35" s="53"/>
      <c r="AN35" s="54"/>
      <c r="AO35" s="11"/>
    </row>
    <row r="36" spans="1:45" ht="18" x14ac:dyDescent="0.35">
      <c r="A36" s="28"/>
      <c r="B36" s="28"/>
      <c r="C36" s="28"/>
      <c r="D36" s="10"/>
      <c r="E36" s="10">
        <f t="shared" si="6"/>
        <v>0</v>
      </c>
      <c r="F36" s="10"/>
      <c r="G36" s="10"/>
      <c r="H36" s="28"/>
      <c r="I36" s="28"/>
      <c r="J36" s="46"/>
      <c r="K36" s="46"/>
      <c r="L36" s="39"/>
      <c r="M36" s="46">
        <f t="shared" si="7"/>
        <v>0</v>
      </c>
      <c r="N36" s="50">
        <f t="shared" si="4"/>
        <v>0</v>
      </c>
      <c r="O36" s="46"/>
      <c r="P36" s="28"/>
      <c r="Q36" s="39"/>
      <c r="R36" s="39"/>
      <c r="S36" s="119">
        <f t="shared" si="5"/>
        <v>0</v>
      </c>
      <c r="T36" s="39"/>
      <c r="U36" s="10"/>
      <c r="V36" s="22"/>
      <c r="W36" s="28"/>
      <c r="X36" s="28"/>
      <c r="Y36" s="28"/>
      <c r="Z36" s="10"/>
      <c r="AA36" s="10"/>
      <c r="AB36" s="10"/>
      <c r="AC36" s="46"/>
      <c r="AD36" s="49"/>
      <c r="AE36" s="39"/>
      <c r="AF36" s="39"/>
      <c r="AG36" s="89"/>
      <c r="AH36" s="39"/>
      <c r="AI36" s="46"/>
      <c r="AJ36" s="39"/>
      <c r="AK36" s="39"/>
      <c r="AL36" s="121">
        <f t="shared" si="3"/>
        <v>0</v>
      </c>
      <c r="AM36" s="39"/>
      <c r="AN36" s="39"/>
      <c r="AO36" s="11"/>
    </row>
    <row r="37" spans="1:45" ht="18" thickBot="1" x14ac:dyDescent="0.4">
      <c r="A37" s="53"/>
      <c r="B37" s="53"/>
      <c r="C37" s="55"/>
      <c r="D37" s="72"/>
      <c r="E37" s="10">
        <f t="shared" si="6"/>
        <v>2894547.43</v>
      </c>
      <c r="F37" s="10"/>
      <c r="G37" s="72"/>
      <c r="H37" s="55">
        <v>0</v>
      </c>
      <c r="I37" s="55"/>
      <c r="J37" s="63">
        <v>993061.15</v>
      </c>
      <c r="K37" s="46"/>
      <c r="L37" s="39"/>
      <c r="M37" s="63">
        <f t="shared" si="7"/>
        <v>2894547.43</v>
      </c>
      <c r="N37" s="50">
        <f t="shared" si="4"/>
        <v>-2894547.43</v>
      </c>
      <c r="O37" s="63">
        <v>2894547.43</v>
      </c>
      <c r="P37" s="55">
        <v>0</v>
      </c>
      <c r="Q37" s="55">
        <v>2894547.43</v>
      </c>
      <c r="R37" s="55"/>
      <c r="S37" s="119">
        <f t="shared" si="5"/>
        <v>0</v>
      </c>
      <c r="T37" s="39"/>
      <c r="U37" s="72"/>
      <c r="V37" s="24"/>
      <c r="W37" s="28" t="s">
        <v>23</v>
      </c>
      <c r="X37" s="53"/>
      <c r="Y37" s="53"/>
      <c r="Z37" s="10">
        <f>X37/1000</f>
        <v>0</v>
      </c>
      <c r="AA37" s="10"/>
      <c r="AB37" s="10">
        <f>AF32/1000</f>
        <v>0</v>
      </c>
      <c r="AC37" s="46">
        <v>84308165.5</v>
      </c>
      <c r="AD37" s="49">
        <v>-41341676.340000004</v>
      </c>
      <c r="AE37" s="39"/>
      <c r="AF37" s="39">
        <f t="shared" ref="AF37:AF43" si="8">AJ37+AI37</f>
        <v>69179989.159999996</v>
      </c>
      <c r="AG37" s="89">
        <f>X40-AF37</f>
        <v>-26213500</v>
      </c>
      <c r="AH37" s="69">
        <v>56809174.479999997</v>
      </c>
      <c r="AI37" s="46">
        <v>84308165.5</v>
      </c>
      <c r="AJ37" s="53">
        <v>-15128176.34</v>
      </c>
      <c r="AK37" s="93">
        <v>31826480.91</v>
      </c>
      <c r="AL37" s="121">
        <f t="shared" si="3"/>
        <v>0</v>
      </c>
      <c r="AM37" s="93"/>
      <c r="AN37" s="93"/>
      <c r="AO37" s="1"/>
    </row>
    <row r="38" spans="1:45" ht="18" thickTop="1" x14ac:dyDescent="0.35">
      <c r="A38" s="32"/>
      <c r="B38" s="32"/>
      <c r="C38" s="32"/>
      <c r="D38" s="10"/>
      <c r="E38" s="10">
        <f t="shared" si="6"/>
        <v>0</v>
      </c>
      <c r="F38" s="10"/>
      <c r="G38" s="10"/>
      <c r="H38" s="32"/>
      <c r="I38" s="32"/>
      <c r="J38" s="46"/>
      <c r="K38" s="46"/>
      <c r="L38" s="39"/>
      <c r="M38" s="46">
        <f t="shared" si="7"/>
        <v>0</v>
      </c>
      <c r="N38" s="50">
        <f t="shared" si="4"/>
        <v>0</v>
      </c>
      <c r="O38" s="46"/>
      <c r="P38" s="32"/>
      <c r="Q38" s="39"/>
      <c r="R38" s="39"/>
      <c r="S38" s="119">
        <f t="shared" si="5"/>
        <v>0</v>
      </c>
      <c r="T38" s="39"/>
      <c r="U38" s="10"/>
      <c r="V38" s="24"/>
      <c r="W38" s="53" t="s">
        <v>74</v>
      </c>
      <c r="X38" s="53"/>
      <c r="Y38" s="53"/>
      <c r="Z38" s="10">
        <v>215696</v>
      </c>
      <c r="AA38" s="10"/>
      <c r="AB38" s="10">
        <v>215696</v>
      </c>
      <c r="AC38" s="46">
        <v>-132387828.23</v>
      </c>
      <c r="AD38" s="49"/>
      <c r="AE38" s="39"/>
      <c r="AF38" s="39">
        <f t="shared" si="8"/>
        <v>0</v>
      </c>
      <c r="AG38" s="89" t="e">
        <f>#REF!-AF38</f>
        <v>#REF!</v>
      </c>
      <c r="AH38" s="39"/>
      <c r="AI38" s="46">
        <v>-117795298.64</v>
      </c>
      <c r="AJ38" s="53">
        <v>117795298.64</v>
      </c>
      <c r="AK38" s="53"/>
      <c r="AL38" s="121">
        <f t="shared" si="3"/>
        <v>0</v>
      </c>
      <c r="AM38" s="53"/>
      <c r="AN38" s="54">
        <v>215696</v>
      </c>
      <c r="AO38" s="1"/>
    </row>
    <row r="39" spans="1:45" ht="17.25" x14ac:dyDescent="0.35">
      <c r="A39" s="28" t="s">
        <v>27</v>
      </c>
      <c r="B39" s="28"/>
      <c r="C39" s="30" t="e">
        <f>C30+#REF!</f>
        <v>#REF!</v>
      </c>
      <c r="D39" s="59">
        <f>SUM(D30:D35)</f>
        <v>401730</v>
      </c>
      <c r="E39" s="10" t="e">
        <f t="shared" si="6"/>
        <v>#REF!</v>
      </c>
      <c r="F39" s="10"/>
      <c r="G39" s="10">
        <f>G35+G33+G32+G30</f>
        <v>324973.35226999997</v>
      </c>
      <c r="H39" s="30" t="e">
        <f>#REF!+H30</f>
        <v>#REF!</v>
      </c>
      <c r="I39" s="30"/>
      <c r="J39" s="30" t="e">
        <f>#REF!+J30</f>
        <v>#REF!</v>
      </c>
      <c r="K39" s="30"/>
      <c r="L39" s="30"/>
      <c r="M39" s="30" t="e">
        <f>#REF!+M30</f>
        <v>#REF!</v>
      </c>
      <c r="N39" s="50" t="e">
        <f t="shared" si="4"/>
        <v>#REF!</v>
      </c>
      <c r="O39" s="30" t="e">
        <f>#REF!+O30</f>
        <v>#REF!</v>
      </c>
      <c r="P39" s="30" t="e">
        <f>#REF!+P30</f>
        <v>#REF!</v>
      </c>
      <c r="Q39" s="30" t="e">
        <f>#REF!+Q30</f>
        <v>#REF!</v>
      </c>
      <c r="R39" s="30" t="e">
        <f>R30+#REF!</f>
        <v>#REF!</v>
      </c>
      <c r="S39" s="119">
        <f t="shared" si="5"/>
        <v>76756.647730000026</v>
      </c>
      <c r="T39" s="30"/>
      <c r="U39" s="91">
        <f>U35+U33+U32+U30</f>
        <v>267122</v>
      </c>
      <c r="V39" s="24"/>
      <c r="W39" s="39" t="s">
        <v>24</v>
      </c>
      <c r="X39" s="46">
        <v>618540.73</v>
      </c>
      <c r="Y39" s="46"/>
      <c r="Z39" s="10">
        <v>1135</v>
      </c>
      <c r="AA39" s="10"/>
      <c r="AB39" s="10">
        <v>619</v>
      </c>
      <c r="AC39" s="47">
        <v>-1830803.92</v>
      </c>
      <c r="AD39" s="50">
        <v>0</v>
      </c>
      <c r="AE39" s="39"/>
      <c r="AF39" s="39">
        <f t="shared" si="8"/>
        <v>0</v>
      </c>
      <c r="AG39" s="89">
        <f>X41-AF39</f>
        <v>-1830803.92</v>
      </c>
      <c r="AH39" s="39"/>
      <c r="AI39" s="46"/>
      <c r="AJ39" s="94"/>
      <c r="AK39" s="94"/>
      <c r="AL39" s="121">
        <f t="shared" si="3"/>
        <v>516</v>
      </c>
      <c r="AM39" s="94"/>
      <c r="AN39" s="9"/>
      <c r="AO39" s="1"/>
    </row>
    <row r="40" spans="1:45" ht="17.25" x14ac:dyDescent="0.35">
      <c r="A40" s="32"/>
      <c r="B40" s="32"/>
      <c r="C40" s="32"/>
      <c r="D40" s="32"/>
      <c r="E40" s="39"/>
      <c r="F40" s="39"/>
      <c r="G40" s="39"/>
      <c r="H40" s="32"/>
      <c r="I40" s="32"/>
      <c r="J40" s="73"/>
      <c r="K40" s="73"/>
      <c r="L40" s="32"/>
      <c r="M40" s="73"/>
      <c r="N40" s="73"/>
      <c r="O40" s="73"/>
      <c r="P40" s="32"/>
      <c r="Q40" s="43"/>
      <c r="R40" s="43"/>
      <c r="S40" s="119">
        <f t="shared" si="5"/>
        <v>0</v>
      </c>
      <c r="T40" s="43"/>
      <c r="U40" s="74"/>
      <c r="V40" s="24"/>
      <c r="W40" s="53" t="s">
        <v>25</v>
      </c>
      <c r="X40" s="46">
        <v>42966489.159999996</v>
      </c>
      <c r="Y40" s="46"/>
      <c r="Z40" s="52">
        <f>47873-1831</f>
        <v>46042</v>
      </c>
      <c r="AA40" s="10"/>
      <c r="AB40" s="52">
        <f>69179+677-711-1018</f>
        <v>68127</v>
      </c>
      <c r="AC40" s="47">
        <v>37702695.039999999</v>
      </c>
      <c r="AD40" s="49">
        <v>-27373583.460000001</v>
      </c>
      <c r="AE40" s="39"/>
      <c r="AF40" s="39">
        <f t="shared" si="8"/>
        <v>0</v>
      </c>
      <c r="AG40" s="89">
        <f>X42-AF40</f>
        <v>10329111.58</v>
      </c>
      <c r="AH40" s="69">
        <v>-11628268.32</v>
      </c>
      <c r="AI40" s="46">
        <v>0</v>
      </c>
      <c r="AJ40" s="95">
        <v>0</v>
      </c>
      <c r="AK40" s="96">
        <v>9720383.6799999997</v>
      </c>
      <c r="AL40" s="121">
        <f t="shared" si="3"/>
        <v>-22085</v>
      </c>
      <c r="AM40" s="96"/>
      <c r="AN40" s="9">
        <f>44197-779</f>
        <v>43418</v>
      </c>
      <c r="AO40" s="1"/>
    </row>
    <row r="41" spans="1:45" ht="17.25" x14ac:dyDescent="0.35">
      <c r="A41" s="32"/>
      <c r="B41" s="32"/>
      <c r="C41" s="32"/>
      <c r="D41" s="32"/>
      <c r="E41" s="39"/>
      <c r="F41" s="39"/>
      <c r="G41" s="39"/>
      <c r="H41" s="32"/>
      <c r="I41" s="32"/>
      <c r="J41" s="32"/>
      <c r="K41" s="32"/>
      <c r="L41" s="32"/>
      <c r="M41" s="32"/>
      <c r="N41" s="32"/>
      <c r="O41" s="32"/>
      <c r="P41" s="32"/>
      <c r="Q41" s="53"/>
      <c r="R41" s="53"/>
      <c r="S41" s="119">
        <f t="shared" si="5"/>
        <v>0</v>
      </c>
      <c r="T41" s="53"/>
      <c r="U41" s="54"/>
      <c r="V41" s="24"/>
      <c r="W41" s="53" t="s">
        <v>26</v>
      </c>
      <c r="X41" s="47">
        <v>-1830803.92</v>
      </c>
      <c r="Y41" s="47"/>
      <c r="Z41" s="52"/>
      <c r="AA41" s="10"/>
      <c r="AB41" s="52">
        <f>AF39/1000</f>
        <v>0</v>
      </c>
      <c r="AC41" s="46" t="s">
        <v>37</v>
      </c>
      <c r="AD41" s="49" t="s">
        <v>37</v>
      </c>
      <c r="AE41" s="49"/>
      <c r="AF41" s="39">
        <f t="shared" si="8"/>
        <v>0</v>
      </c>
      <c r="AG41" s="89" t="e">
        <f>#REF!-AF41</f>
        <v>#REF!</v>
      </c>
      <c r="AH41" s="39"/>
      <c r="AI41" s="46">
        <v>0</v>
      </c>
      <c r="AJ41" s="95">
        <v>0</v>
      </c>
      <c r="AK41" s="95"/>
      <c r="AL41" s="121">
        <f t="shared" si="3"/>
        <v>0</v>
      </c>
      <c r="AM41" s="95"/>
      <c r="AN41" s="97"/>
      <c r="AO41" s="1"/>
    </row>
    <row r="42" spans="1:45" ht="17.25" hidden="1" x14ac:dyDescent="0.35">
      <c r="A42" s="32"/>
      <c r="B42" s="32"/>
      <c r="C42" s="32"/>
      <c r="D42" s="32"/>
      <c r="E42" s="39"/>
      <c r="F42" s="39"/>
      <c r="G42" s="39"/>
      <c r="H42" s="32"/>
      <c r="I42" s="32"/>
      <c r="J42" s="32"/>
      <c r="K42" s="32"/>
      <c r="L42" s="32"/>
      <c r="M42" s="32"/>
      <c r="N42" s="32"/>
      <c r="O42" s="32"/>
      <c r="P42" s="32"/>
      <c r="Q42" s="53"/>
      <c r="R42" s="53"/>
      <c r="S42" s="119">
        <f t="shared" si="5"/>
        <v>0</v>
      </c>
      <c r="T42" s="53"/>
      <c r="U42" s="54"/>
      <c r="V42" s="24"/>
      <c r="W42" s="53"/>
      <c r="X42" s="47">
        <v>10329111.58</v>
      </c>
      <c r="Y42" s="47"/>
      <c r="Z42" s="10"/>
      <c r="AA42" s="10"/>
      <c r="AB42" s="10" t="s">
        <v>37</v>
      </c>
      <c r="AC42" s="46" t="s">
        <v>37</v>
      </c>
      <c r="AD42" s="98"/>
      <c r="AE42" s="49"/>
      <c r="AF42" s="39">
        <f t="shared" si="8"/>
        <v>0</v>
      </c>
      <c r="AG42" s="89" t="e">
        <f>#REF!-AF42</f>
        <v>#REF!</v>
      </c>
      <c r="AH42" s="39"/>
      <c r="AI42" s="46">
        <v>0</v>
      </c>
      <c r="AJ42" s="95"/>
      <c r="AK42" s="95"/>
      <c r="AL42" s="121" t="e">
        <f t="shared" si="3"/>
        <v>#VALUE!</v>
      </c>
      <c r="AM42" s="95"/>
      <c r="AN42" s="9"/>
      <c r="AO42" s="1"/>
      <c r="AP42" s="11"/>
      <c r="AQ42" s="11"/>
      <c r="AR42" s="11"/>
      <c r="AS42" s="21"/>
    </row>
    <row r="43" spans="1:45" ht="17.25" x14ac:dyDescent="0.35">
      <c r="A43" s="32"/>
      <c r="B43" s="32"/>
      <c r="C43" s="32"/>
      <c r="D43" s="32"/>
      <c r="E43" s="39"/>
      <c r="F43" s="39"/>
      <c r="G43" s="39"/>
      <c r="H43" s="32"/>
      <c r="I43" s="32"/>
      <c r="J43" s="32"/>
      <c r="K43" s="32"/>
      <c r="L43" s="32"/>
      <c r="M43" s="32"/>
      <c r="N43" s="32"/>
      <c r="O43" s="32"/>
      <c r="P43" s="32"/>
      <c r="Q43" s="53"/>
      <c r="R43" s="53"/>
      <c r="S43" s="119">
        <f t="shared" si="5"/>
        <v>0</v>
      </c>
      <c r="T43" s="53"/>
      <c r="U43" s="54"/>
      <c r="V43" s="24"/>
      <c r="W43" s="53"/>
      <c r="X43" s="46"/>
      <c r="Y43" s="46"/>
      <c r="Z43" s="10">
        <f>X43/1000</f>
        <v>0</v>
      </c>
      <c r="AA43" s="10"/>
      <c r="AB43" s="10"/>
      <c r="AC43" s="99">
        <f>SUM(AC36:AC42)</f>
        <v>-12207771.610000007</v>
      </c>
      <c r="AD43" s="100">
        <f>SUM(AD36:AD42)</f>
        <v>-68715259.800000012</v>
      </c>
      <c r="AE43" s="49"/>
      <c r="AF43" s="101">
        <f t="shared" si="8"/>
        <v>69179989.159999996</v>
      </c>
      <c r="AG43" s="89">
        <f>X44-AF43</f>
        <v>-17096651.610000007</v>
      </c>
      <c r="AH43" s="101" t="e">
        <f>AH40+AH37+AH36+#REF!</f>
        <v>#REF!</v>
      </c>
      <c r="AI43" s="100">
        <f>SUM(AI36:AI42)</f>
        <v>-33487133.140000001</v>
      </c>
      <c r="AJ43" s="100">
        <f>SUM(AJ36:AJ42)</f>
        <v>102667122.3</v>
      </c>
      <c r="AK43" s="100">
        <f>SUM(AK36:AK42)</f>
        <v>41546864.590000004</v>
      </c>
      <c r="AL43" s="121">
        <f t="shared" si="3"/>
        <v>0</v>
      </c>
      <c r="AM43" s="49"/>
      <c r="AN43" s="9"/>
      <c r="AO43" s="1"/>
      <c r="AP43" s="11"/>
      <c r="AQ43" s="11"/>
      <c r="AR43" s="11"/>
      <c r="AS43" s="11"/>
    </row>
    <row r="44" spans="1:45" ht="17.25" x14ac:dyDescent="0.35">
      <c r="A44" s="32"/>
      <c r="B44" s="32"/>
      <c r="C44" s="32"/>
      <c r="D44" s="32"/>
      <c r="E44" s="39"/>
      <c r="F44" s="39"/>
      <c r="G44" s="39"/>
      <c r="H44" s="32"/>
      <c r="I44" s="32"/>
      <c r="J44" s="32"/>
      <c r="K44" s="32"/>
      <c r="L44" s="32"/>
      <c r="M44" s="32"/>
      <c r="N44" s="32"/>
      <c r="O44" s="32"/>
      <c r="P44" s="32"/>
      <c r="Q44" s="53"/>
      <c r="R44" s="53"/>
      <c r="S44" s="119">
        <f t="shared" si="5"/>
        <v>0</v>
      </c>
      <c r="T44" s="53"/>
      <c r="U44" s="54"/>
      <c r="V44" s="24"/>
      <c r="W44" s="28" t="s">
        <v>28</v>
      </c>
      <c r="X44" s="99">
        <f>SUM(X39:X43)</f>
        <v>52083337.54999999</v>
      </c>
      <c r="Y44" s="50"/>
      <c r="Z44" s="10">
        <f>Z40+Z39+Z38</f>
        <v>262873</v>
      </c>
      <c r="AA44" s="10"/>
      <c r="AB44" s="10">
        <f>SUM(AB37:AB43)</f>
        <v>284442</v>
      </c>
      <c r="AC44" s="102" t="s">
        <v>34</v>
      </c>
      <c r="AD44" s="84" t="s">
        <v>36</v>
      </c>
      <c r="AE44" s="84"/>
      <c r="AF44" s="84" t="s">
        <v>34</v>
      </c>
      <c r="AG44" s="103"/>
      <c r="AH44" s="84"/>
      <c r="AI44" s="84" t="s">
        <v>36</v>
      </c>
      <c r="AJ44" s="84" t="s">
        <v>34</v>
      </c>
      <c r="AK44" s="84"/>
      <c r="AL44" s="121">
        <f t="shared" si="3"/>
        <v>-21569</v>
      </c>
      <c r="AM44" s="84"/>
      <c r="AN44" s="104">
        <f>AN40+AN38</f>
        <v>259114</v>
      </c>
      <c r="AO44" s="1"/>
      <c r="AP44" s="11"/>
      <c r="AQ44" s="11"/>
      <c r="AR44" s="11"/>
      <c r="AS44" s="11"/>
    </row>
    <row r="45" spans="1:45" ht="17.25" x14ac:dyDescent="0.35">
      <c r="A45" s="75"/>
      <c r="B45" s="75"/>
      <c r="C45" s="75"/>
      <c r="D45" s="75"/>
      <c r="E45" s="39"/>
      <c r="F45" s="39"/>
      <c r="G45" s="39"/>
      <c r="H45" s="75"/>
      <c r="I45" s="75"/>
      <c r="J45" s="32"/>
      <c r="K45" s="32"/>
      <c r="L45" s="32"/>
      <c r="M45" s="32"/>
      <c r="N45" s="32"/>
      <c r="O45" s="32"/>
      <c r="P45" s="75"/>
      <c r="Q45" s="53"/>
      <c r="R45" s="53"/>
      <c r="S45" s="119">
        <f t="shared" si="5"/>
        <v>0</v>
      </c>
      <c r="T45" s="53"/>
      <c r="U45" s="54"/>
      <c r="V45" s="24"/>
      <c r="W45" s="28"/>
      <c r="X45" s="50"/>
      <c r="Y45" s="50"/>
      <c r="Z45" s="10"/>
      <c r="AA45" s="10"/>
      <c r="AB45" s="10"/>
      <c r="AC45" s="102"/>
      <c r="AD45" s="84"/>
      <c r="AE45" s="84"/>
      <c r="AF45" s="84"/>
      <c r="AG45" s="103"/>
      <c r="AH45" s="84"/>
      <c r="AI45" s="84"/>
      <c r="AJ45" s="84"/>
      <c r="AK45" s="84"/>
      <c r="AL45" s="121">
        <f t="shared" si="3"/>
        <v>0</v>
      </c>
      <c r="AM45" s="84"/>
      <c r="AN45" s="104"/>
      <c r="AO45" s="11"/>
      <c r="AP45" s="11"/>
      <c r="AQ45" s="11"/>
      <c r="AR45" s="11"/>
      <c r="AS45" s="11"/>
    </row>
    <row r="46" spans="1:45" ht="17.25" x14ac:dyDescent="0.35">
      <c r="A46" s="70"/>
      <c r="B46" s="70"/>
      <c r="C46" s="67"/>
      <c r="D46" s="67"/>
      <c r="E46" s="39"/>
      <c r="F46" s="39"/>
      <c r="G46" s="39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119">
        <f t="shared" si="5"/>
        <v>0</v>
      </c>
      <c r="T46" s="67"/>
      <c r="U46" s="66"/>
      <c r="V46" s="24"/>
      <c r="W46" s="28"/>
      <c r="X46" s="50"/>
      <c r="Y46" s="50"/>
      <c r="Z46" s="10">
        <f>X46/1000</f>
        <v>0</v>
      </c>
      <c r="AA46" s="10"/>
      <c r="AB46" s="10"/>
      <c r="AC46" s="105"/>
      <c r="AD46" s="81"/>
      <c r="AE46" s="81"/>
      <c r="AF46" s="81"/>
      <c r="AG46" s="82"/>
      <c r="AH46" s="81"/>
      <c r="AI46" s="81"/>
      <c r="AJ46" s="81"/>
      <c r="AK46" s="81"/>
      <c r="AL46" s="121">
        <f t="shared" si="3"/>
        <v>0</v>
      </c>
      <c r="AM46" s="81"/>
      <c r="AN46" s="81"/>
      <c r="AO46" s="11"/>
      <c r="AP46" s="11"/>
      <c r="AQ46" s="11"/>
      <c r="AR46" s="11"/>
      <c r="AS46" s="11"/>
    </row>
    <row r="47" spans="1:45" s="19" customFormat="1" ht="18" thickBot="1" x14ac:dyDescent="0.4">
      <c r="A47" s="76"/>
      <c r="B47" s="76"/>
      <c r="C47" s="76"/>
      <c r="D47" s="76"/>
      <c r="E47" s="39"/>
      <c r="F47" s="39"/>
      <c r="G47" s="39"/>
      <c r="H47" s="76"/>
      <c r="I47" s="76"/>
      <c r="J47" s="46"/>
      <c r="K47" s="46"/>
      <c r="L47" s="46"/>
      <c r="M47" s="46"/>
      <c r="N47" s="46"/>
      <c r="O47" s="46"/>
      <c r="P47" s="76"/>
      <c r="Q47" s="39"/>
      <c r="R47" s="39"/>
      <c r="S47" s="119">
        <f t="shared" si="5"/>
        <v>0</v>
      </c>
      <c r="T47" s="39"/>
      <c r="U47" s="10"/>
      <c r="V47" s="137"/>
      <c r="W47" s="28" t="s">
        <v>63</v>
      </c>
      <c r="X47" s="106" t="e">
        <f>X21+#REF!+X44</f>
        <v>#REF!</v>
      </c>
      <c r="Y47" s="80"/>
      <c r="Z47" s="123">
        <f>Z44+Z32+Z21</f>
        <v>421148.76231999998</v>
      </c>
      <c r="AA47" s="123"/>
      <c r="AB47" s="123">
        <f>AB44+AB32+AB21</f>
        <v>339867.73574999999</v>
      </c>
      <c r="AC47" s="82"/>
      <c r="AD47" s="28"/>
      <c r="AE47" s="28"/>
      <c r="AF47" s="28"/>
      <c r="AG47" s="28"/>
      <c r="AH47" s="28"/>
      <c r="AI47" s="82"/>
      <c r="AJ47" s="28"/>
      <c r="AK47" s="28"/>
      <c r="AL47" s="138">
        <f t="shared" si="3"/>
        <v>81281.026569999987</v>
      </c>
      <c r="AM47" s="28"/>
      <c r="AN47" s="123">
        <f>AN44+AN32+AN21</f>
        <v>271482</v>
      </c>
      <c r="AO47" s="139"/>
      <c r="AP47" s="139"/>
      <c r="AQ47" s="139"/>
      <c r="AR47" s="139"/>
      <c r="AS47" s="139"/>
    </row>
    <row r="48" spans="1:45" ht="16.5" thickTop="1" x14ac:dyDescent="0.35">
      <c r="A48" s="29"/>
      <c r="B48" s="29"/>
      <c r="C48" s="29"/>
      <c r="D48" s="29"/>
      <c r="E48" s="39"/>
      <c r="F48" s="39"/>
      <c r="G48" s="39"/>
      <c r="H48" s="29"/>
      <c r="I48" s="29"/>
      <c r="J48" s="46"/>
      <c r="K48" s="46"/>
      <c r="L48" s="53"/>
      <c r="M48" s="46"/>
      <c r="N48" s="46"/>
      <c r="O48" s="46"/>
      <c r="P48" s="29"/>
      <c r="Q48" s="29"/>
      <c r="R48" s="29"/>
      <c r="S48" s="119">
        <f t="shared" si="5"/>
        <v>0</v>
      </c>
      <c r="T48" s="29"/>
      <c r="U48" s="77"/>
      <c r="AB48" s="27"/>
      <c r="AC48" s="2"/>
      <c r="AI48" s="2"/>
      <c r="AO48" s="11"/>
      <c r="AP48" s="11"/>
      <c r="AQ48" s="11"/>
      <c r="AR48" s="11"/>
      <c r="AS48" s="11"/>
    </row>
    <row r="49" spans="1:45" ht="16.5" thickBot="1" x14ac:dyDescent="0.4">
      <c r="A49" s="28" t="s">
        <v>62</v>
      </c>
      <c r="B49" s="28"/>
      <c r="C49" s="78" t="e">
        <f>C21+C39</f>
        <v>#REF!</v>
      </c>
      <c r="D49" s="79">
        <f>D39+D21</f>
        <v>421148.78506000002</v>
      </c>
      <c r="E49" s="59">
        <f>M49</f>
        <v>318277991.87</v>
      </c>
      <c r="F49" s="59"/>
      <c r="G49" s="123">
        <f>G39+G21</f>
        <v>339868.06532999995</v>
      </c>
      <c r="H49" s="78" t="e">
        <f>H39+H21</f>
        <v>#REF!</v>
      </c>
      <c r="I49" s="78"/>
      <c r="J49" s="65">
        <v>187558526.16</v>
      </c>
      <c r="K49" s="67"/>
      <c r="L49" s="67"/>
      <c r="M49" s="65">
        <v>318277991.87</v>
      </c>
      <c r="N49" s="65"/>
      <c r="O49" s="78" t="e">
        <f>O39+O21</f>
        <v>#REF!</v>
      </c>
      <c r="P49" s="65">
        <v>213894598.53</v>
      </c>
      <c r="Q49" s="65">
        <v>104383393.34</v>
      </c>
      <c r="R49" s="78" t="e">
        <f>R39+R21</f>
        <v>#REF!</v>
      </c>
      <c r="S49" s="136">
        <f t="shared" si="5"/>
        <v>81280.71973000007</v>
      </c>
      <c r="T49" s="80"/>
      <c r="U49" s="79">
        <f>U39+U21</f>
        <v>271482</v>
      </c>
      <c r="V49" s="2"/>
      <c r="W49" s="11"/>
      <c r="AC49" s="2"/>
      <c r="AI49" s="2"/>
      <c r="AN49" s="27">
        <f>AN47-U49</f>
        <v>0</v>
      </c>
      <c r="AO49" s="11"/>
      <c r="AP49" s="11"/>
      <c r="AQ49" s="11"/>
      <c r="AR49" s="11"/>
      <c r="AS49" s="11"/>
    </row>
    <row r="50" spans="1:45" ht="15.75" thickTop="1" x14ac:dyDescent="0.3">
      <c r="A50" s="2"/>
      <c r="B50" s="2"/>
      <c r="C50" s="2"/>
      <c r="D50" s="2"/>
      <c r="E50" s="2"/>
      <c r="F50" s="2"/>
      <c r="G50" s="2"/>
      <c r="H50" s="2"/>
      <c r="I50" s="2"/>
      <c r="J50" s="11"/>
      <c r="K50" s="11"/>
      <c r="L50" s="11"/>
      <c r="M50" s="11"/>
      <c r="N50" s="11"/>
      <c r="O50" s="11"/>
      <c r="P50" s="2"/>
      <c r="Q50" s="11"/>
      <c r="R50" s="11"/>
      <c r="S50" s="120"/>
      <c r="T50" s="11"/>
      <c r="U50" s="11"/>
      <c r="V50" s="2"/>
      <c r="W50" s="11"/>
    </row>
    <row r="51" spans="1:45" ht="15" x14ac:dyDescent="0.3">
      <c r="A51" s="3"/>
      <c r="B51" s="3"/>
      <c r="C51" s="2"/>
      <c r="D51" s="2"/>
      <c r="E51" s="2"/>
      <c r="F51" s="2"/>
      <c r="G51" s="2"/>
      <c r="H51" s="2"/>
      <c r="I51" s="2"/>
      <c r="J51" s="11"/>
      <c r="K51" s="11"/>
      <c r="L51" s="11"/>
      <c r="M51" s="11"/>
      <c r="N51" s="11"/>
      <c r="O51" s="11"/>
      <c r="P51" s="2"/>
      <c r="Q51" s="11"/>
      <c r="R51" s="11"/>
      <c r="S51" s="120"/>
      <c r="T51" s="11"/>
      <c r="U51" s="11"/>
      <c r="X51" s="2"/>
      <c r="Y51" s="2"/>
      <c r="Z51" s="122"/>
      <c r="AA51" s="2"/>
      <c r="AB51" s="2"/>
      <c r="AO51" s="11"/>
      <c r="AP51" s="11"/>
      <c r="AQ51" s="11"/>
      <c r="AR51" s="11"/>
      <c r="AS51" s="11"/>
    </row>
    <row r="52" spans="1:45" ht="15" x14ac:dyDescent="0.3">
      <c r="X52" s="2"/>
      <c r="Y52" s="2"/>
      <c r="Z52" s="2"/>
      <c r="AA52" s="2"/>
      <c r="AB52" s="2"/>
      <c r="AO52" s="11"/>
      <c r="AP52" s="11"/>
      <c r="AQ52" s="11"/>
      <c r="AR52" s="11"/>
      <c r="AS52" s="11"/>
    </row>
    <row r="53" spans="1:45" ht="15" x14ac:dyDescent="0.3">
      <c r="A53" s="2"/>
      <c r="B53" s="2"/>
    </row>
    <row r="54" spans="1:45" ht="15" x14ac:dyDescent="0.3">
      <c r="A54" s="2"/>
      <c r="B54" s="2"/>
    </row>
  </sheetData>
  <pageMargins left="0.51181102362204722" right="0.51181102362204722" top="0.78740157480314965" bottom="0.78740157480314965" header="0.31496062992125984" footer="0.31496062992125984"/>
  <pageSetup paperSize="9" scale="6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GridLines="0" zoomScale="85" zoomScaleNormal="85" zoomScaleSheetLayoutView="55" workbookViewId="0">
      <selection activeCell="D39" sqref="D39"/>
    </sheetView>
  </sheetViews>
  <sheetFormatPr defaultColWidth="14.140625" defaultRowHeight="15" x14ac:dyDescent="0.25"/>
  <cols>
    <col min="1" max="1" width="2.7109375" customWidth="1"/>
    <col min="2" max="5" width="9.140625"/>
    <col min="6" max="6" width="3.42578125" customWidth="1"/>
    <col min="7" max="7" width="16.140625" customWidth="1"/>
    <col min="8" max="8" width="3.42578125" customWidth="1"/>
    <col min="9" max="9" width="12.140625" customWidth="1"/>
    <col min="10" max="10" width="10.28515625" customWidth="1"/>
    <col min="11" max="12" width="9.140625"/>
    <col min="13" max="13" width="16.5703125" customWidth="1"/>
    <col min="14" max="14" width="9.140625"/>
    <col min="15" max="15" width="3" customWidth="1"/>
    <col min="16" max="16" width="12" customWidth="1"/>
    <col min="17" max="17" width="4.85546875" customWidth="1"/>
    <col min="18" max="18" width="12" customWidth="1"/>
    <col min="19" max="16384" width="14.140625" style="142"/>
  </cols>
  <sheetData>
    <row r="1" spans="2:29" x14ac:dyDescent="0.25">
      <c r="B1" s="145" t="s">
        <v>111</v>
      </c>
      <c r="C1" s="159"/>
      <c r="D1" s="159"/>
      <c r="E1" s="159"/>
      <c r="F1" s="159"/>
      <c r="G1" s="159"/>
      <c r="H1" s="159"/>
      <c r="I1" s="159"/>
    </row>
    <row r="2" spans="2:29" ht="15" customHeight="1" x14ac:dyDescent="0.25">
      <c r="B2" s="146" t="s">
        <v>114</v>
      </c>
      <c r="C2" s="159"/>
      <c r="D2" s="159"/>
      <c r="E2" s="159"/>
      <c r="F2" s="159"/>
      <c r="G2" s="159"/>
      <c r="H2" s="159"/>
      <c r="I2" s="159"/>
    </row>
    <row r="3" spans="2:29" ht="12.75" customHeight="1" x14ac:dyDescent="0.25">
      <c r="B3" s="145" t="s">
        <v>86</v>
      </c>
      <c r="C3" s="144"/>
      <c r="D3" s="144"/>
      <c r="E3" s="144"/>
      <c r="F3" s="144"/>
      <c r="G3" s="144"/>
      <c r="H3" s="144"/>
      <c r="I3" s="144"/>
    </row>
    <row r="4" spans="2:29" ht="12.75" customHeight="1" x14ac:dyDescent="0.25">
      <c r="B4" s="144"/>
      <c r="C4" s="144"/>
      <c r="D4" s="144"/>
      <c r="E4" s="144"/>
      <c r="F4" s="144"/>
      <c r="G4" s="144"/>
      <c r="H4" s="144"/>
      <c r="I4" s="144"/>
    </row>
    <row r="5" spans="2:29" ht="14.25" customHeight="1" x14ac:dyDescent="0.25">
      <c r="B5" s="146"/>
      <c r="C5" s="146"/>
      <c r="D5" s="146"/>
      <c r="E5" s="147" t="s">
        <v>90</v>
      </c>
      <c r="F5" s="147"/>
      <c r="G5" s="180">
        <v>2017</v>
      </c>
      <c r="H5" s="147"/>
      <c r="I5" s="180">
        <v>2016</v>
      </c>
      <c r="J5" s="149"/>
      <c r="K5" s="146"/>
      <c r="L5" s="146"/>
      <c r="M5" s="146"/>
      <c r="N5" s="147" t="s">
        <v>90</v>
      </c>
      <c r="O5" s="147"/>
      <c r="P5" s="180">
        <v>2017</v>
      </c>
      <c r="Q5" s="147"/>
      <c r="R5" s="180">
        <v>2016</v>
      </c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</row>
    <row r="6" spans="2:29" ht="14.25" customHeight="1" x14ac:dyDescent="0.25">
      <c r="B6" s="146"/>
      <c r="C6" s="146"/>
      <c r="D6" s="146"/>
      <c r="E6" s="147"/>
      <c r="F6" s="147"/>
      <c r="G6" s="148"/>
      <c r="H6" s="147"/>
      <c r="I6" s="148"/>
      <c r="J6" s="171"/>
      <c r="K6" s="146"/>
      <c r="L6" s="146"/>
      <c r="M6" s="146"/>
      <c r="N6" s="147"/>
      <c r="O6" s="147"/>
      <c r="P6" s="148"/>
      <c r="Q6" s="147"/>
      <c r="R6" s="14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</row>
    <row r="7" spans="2:29" ht="14.25" customHeight="1" x14ac:dyDescent="0.25">
      <c r="B7" s="146" t="s">
        <v>64</v>
      </c>
      <c r="C7" s="146"/>
      <c r="D7" s="146"/>
      <c r="E7" s="147"/>
      <c r="F7" s="147"/>
      <c r="G7" s="148"/>
      <c r="H7" s="147"/>
      <c r="I7" s="148"/>
      <c r="J7" s="149"/>
      <c r="K7" s="146" t="s">
        <v>65</v>
      </c>
      <c r="L7" s="146"/>
      <c r="M7" s="146"/>
      <c r="N7" s="147"/>
      <c r="O7" s="147"/>
      <c r="P7" s="151"/>
      <c r="Q7" s="147"/>
      <c r="R7" s="151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</row>
    <row r="8" spans="2:29" ht="14.25" customHeight="1" x14ac:dyDescent="0.25">
      <c r="B8" s="146"/>
      <c r="C8" s="146"/>
      <c r="D8" s="146"/>
      <c r="E8" s="147"/>
      <c r="F8" s="147"/>
      <c r="G8" s="148"/>
      <c r="H8" s="147"/>
      <c r="I8" s="148"/>
      <c r="J8" s="149"/>
      <c r="K8" s="146"/>
      <c r="L8" s="146"/>
      <c r="M8" s="146"/>
      <c r="N8" s="147"/>
      <c r="O8" s="147"/>
      <c r="P8" s="151"/>
      <c r="Q8" s="147"/>
      <c r="R8" s="151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</row>
    <row r="9" spans="2:29" ht="14.25" customHeight="1" x14ac:dyDescent="0.25">
      <c r="B9" s="146" t="s">
        <v>2</v>
      </c>
      <c r="C9" s="146"/>
      <c r="D9" s="146"/>
      <c r="E9" s="146"/>
      <c r="F9" s="146"/>
      <c r="G9" s="150"/>
      <c r="H9" s="146"/>
      <c r="I9" s="150"/>
      <c r="J9" s="146"/>
      <c r="K9" s="146" t="s">
        <v>2</v>
      </c>
      <c r="L9" s="146"/>
      <c r="M9" s="146"/>
      <c r="N9" s="146"/>
      <c r="O9" s="146"/>
      <c r="P9" s="152"/>
      <c r="Q9" s="146"/>
      <c r="R9" s="152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</row>
    <row r="10" spans="2:29" ht="14.25" customHeight="1" x14ac:dyDescent="0.25">
      <c r="B10" s="141" t="s">
        <v>91</v>
      </c>
      <c r="C10" s="141"/>
      <c r="D10" s="141"/>
      <c r="E10" s="160" t="s">
        <v>93</v>
      </c>
      <c r="F10" s="161"/>
      <c r="G10" s="162">
        <v>168829</v>
      </c>
      <c r="H10" s="161"/>
      <c r="I10" s="162">
        <v>147563</v>
      </c>
      <c r="J10" s="141"/>
      <c r="K10" s="141" t="s">
        <v>107</v>
      </c>
      <c r="L10" s="141"/>
      <c r="M10" s="141"/>
      <c r="N10" s="160">
        <v>7</v>
      </c>
      <c r="O10" s="160"/>
      <c r="P10" s="163">
        <v>4589</v>
      </c>
      <c r="Q10" s="160"/>
      <c r="R10" s="163">
        <v>138</v>
      </c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</row>
    <row r="11" spans="2:29" ht="14.25" customHeight="1" x14ac:dyDescent="0.25">
      <c r="B11" s="141" t="s">
        <v>92</v>
      </c>
      <c r="C11" s="141"/>
      <c r="D11" s="141"/>
      <c r="E11" s="160" t="s">
        <v>94</v>
      </c>
      <c r="F11" s="161"/>
      <c r="G11" s="162">
        <v>9648</v>
      </c>
      <c r="H11" s="161"/>
      <c r="I11" s="162">
        <v>8651</v>
      </c>
      <c r="J11" s="141"/>
      <c r="K11" s="141" t="s">
        <v>85</v>
      </c>
      <c r="L11" s="141"/>
      <c r="M11" s="141"/>
      <c r="N11" s="160"/>
      <c r="O11" s="160"/>
      <c r="P11" s="163">
        <v>992</v>
      </c>
      <c r="Q11" s="160"/>
      <c r="R11" s="163">
        <v>2324</v>
      </c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2:29" ht="14.25" customHeight="1" x14ac:dyDescent="0.25">
      <c r="B12" s="141" t="s">
        <v>5</v>
      </c>
      <c r="C12" s="141"/>
      <c r="D12" s="141"/>
      <c r="E12" s="160" t="s">
        <v>95</v>
      </c>
      <c r="F12" s="161"/>
      <c r="G12" s="163">
        <v>9037</v>
      </c>
      <c r="H12" s="161"/>
      <c r="I12" s="163">
        <v>9880</v>
      </c>
      <c r="J12" s="141"/>
      <c r="K12" s="141" t="s">
        <v>101</v>
      </c>
      <c r="L12" s="141"/>
      <c r="M12" s="141"/>
      <c r="N12" s="153"/>
      <c r="O12" s="153"/>
      <c r="P12" s="163">
        <v>1558</v>
      </c>
      <c r="Q12" s="153"/>
      <c r="R12" s="163">
        <v>1134</v>
      </c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2:29" ht="14.25" customHeight="1" x14ac:dyDescent="0.25">
      <c r="B13" s="141" t="s">
        <v>103</v>
      </c>
      <c r="C13" s="141"/>
      <c r="D13" s="141"/>
      <c r="E13" s="164"/>
      <c r="F13" s="161"/>
      <c r="G13" s="165">
        <f>201+17</f>
        <v>218</v>
      </c>
      <c r="H13" s="161"/>
      <c r="I13" s="165">
        <v>183</v>
      </c>
      <c r="J13" s="141"/>
      <c r="K13" s="141" t="s">
        <v>100</v>
      </c>
      <c r="L13" s="141"/>
      <c r="M13" s="141"/>
      <c r="N13" s="160">
        <v>11</v>
      </c>
      <c r="O13" s="160"/>
      <c r="P13" s="165">
        <v>11339</v>
      </c>
      <c r="Q13" s="160"/>
      <c r="R13" s="165">
        <v>8607</v>
      </c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2:29" ht="14.25" customHeight="1" x14ac:dyDescent="0.25">
      <c r="B14" s="141"/>
      <c r="C14" s="141"/>
      <c r="D14" s="141"/>
      <c r="E14" s="154"/>
      <c r="F14" s="141"/>
      <c r="G14" s="163"/>
      <c r="H14" s="141"/>
      <c r="I14" s="163"/>
      <c r="J14" s="141"/>
      <c r="K14" s="141"/>
      <c r="L14" s="141"/>
      <c r="M14" s="141"/>
      <c r="N14" s="153"/>
      <c r="O14" s="153"/>
      <c r="P14" s="163"/>
      <c r="Q14" s="153"/>
      <c r="R14" s="163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2:29" ht="14.25" customHeight="1" x14ac:dyDescent="0.25">
      <c r="B15" s="141"/>
      <c r="C15" s="141"/>
      <c r="D15" s="141"/>
      <c r="E15" s="154"/>
      <c r="F15" s="141"/>
      <c r="G15" s="165">
        <f>G10+G11+G12+G13</f>
        <v>187732</v>
      </c>
      <c r="H15" s="141"/>
      <c r="I15" s="165">
        <f>I10+I11+I12+I13</f>
        <v>166277</v>
      </c>
      <c r="J15" s="141"/>
      <c r="K15" s="146"/>
      <c r="L15" s="146"/>
      <c r="M15" s="141"/>
      <c r="N15" s="153"/>
      <c r="O15" s="153"/>
      <c r="P15" s="165">
        <f>P10+P11+P12+P13</f>
        <v>18478</v>
      </c>
      <c r="Q15" s="153"/>
      <c r="R15" s="165">
        <f>R10+R11+R12+R13</f>
        <v>12203</v>
      </c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2:29" ht="14.25" customHeight="1" x14ac:dyDescent="0.25">
      <c r="B16" s="141"/>
      <c r="C16" s="141"/>
      <c r="D16" s="141"/>
      <c r="E16" s="154"/>
      <c r="F16" s="141"/>
      <c r="G16" s="162"/>
      <c r="H16" s="141"/>
      <c r="I16" s="162"/>
      <c r="J16" s="141"/>
      <c r="K16" s="146"/>
      <c r="L16" s="146"/>
      <c r="M16" s="141"/>
      <c r="N16" s="153"/>
      <c r="O16" s="153"/>
      <c r="P16" s="163"/>
      <c r="Q16" s="153"/>
      <c r="R16" s="163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2:29" ht="14.25" customHeight="1" x14ac:dyDescent="0.25">
      <c r="B17" s="146"/>
      <c r="C17" s="146"/>
      <c r="D17" s="146"/>
      <c r="E17" s="155"/>
      <c r="F17" s="146"/>
      <c r="G17" s="162"/>
      <c r="H17" s="146"/>
      <c r="I17" s="162"/>
      <c r="J17" s="146"/>
      <c r="K17" s="146" t="s">
        <v>87</v>
      </c>
      <c r="L17" s="141"/>
      <c r="M17" s="141"/>
      <c r="N17" s="160"/>
      <c r="O17" s="160"/>
      <c r="P17" s="163"/>
      <c r="Q17" s="160"/>
      <c r="R17" s="163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2:29" ht="14.25" customHeight="1" x14ac:dyDescent="0.25">
      <c r="B18" s="145" t="s">
        <v>87</v>
      </c>
      <c r="C18" s="146"/>
      <c r="D18" s="146"/>
      <c r="E18" s="146"/>
      <c r="F18" s="146"/>
      <c r="G18" s="162"/>
      <c r="H18" s="146"/>
      <c r="I18" s="162"/>
      <c r="J18" s="141"/>
      <c r="K18" s="141" t="s">
        <v>100</v>
      </c>
      <c r="L18" s="141"/>
      <c r="M18" s="141"/>
      <c r="N18" s="160">
        <v>11</v>
      </c>
      <c r="O18" s="160"/>
      <c r="P18" s="163">
        <v>153093</v>
      </c>
      <c r="Q18" s="160"/>
      <c r="R18" s="163">
        <v>163508</v>
      </c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2:29" ht="14.25" customHeight="1" x14ac:dyDescent="0.25">
      <c r="B19" s="141" t="s">
        <v>102</v>
      </c>
      <c r="C19" s="141"/>
      <c r="D19" s="141"/>
      <c r="E19" s="156">
        <v>6</v>
      </c>
      <c r="F19" s="157"/>
      <c r="G19" s="162">
        <v>2955</v>
      </c>
      <c r="H19" s="157"/>
      <c r="I19" s="162">
        <v>4100</v>
      </c>
      <c r="J19" s="141"/>
      <c r="K19" s="141" t="s">
        <v>108</v>
      </c>
      <c r="L19" s="141"/>
      <c r="M19" s="141"/>
      <c r="N19" s="160">
        <v>7</v>
      </c>
      <c r="O19" s="160"/>
      <c r="P19" s="163">
        <v>1513</v>
      </c>
      <c r="Q19" s="160"/>
      <c r="R19" s="163">
        <v>1405</v>
      </c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2:29" ht="14.25" customHeight="1" x14ac:dyDescent="0.25">
      <c r="B20" s="141" t="s">
        <v>110</v>
      </c>
      <c r="C20" s="141"/>
      <c r="D20" s="141"/>
      <c r="E20" s="156">
        <v>17</v>
      </c>
      <c r="F20" s="157"/>
      <c r="G20" s="162">
        <v>15584</v>
      </c>
      <c r="H20" s="157"/>
      <c r="I20" s="162">
        <v>16390</v>
      </c>
      <c r="J20" s="141"/>
      <c r="K20" s="141" t="s">
        <v>101</v>
      </c>
      <c r="L20" s="141"/>
      <c r="M20" s="141"/>
      <c r="N20" s="160"/>
      <c r="O20" s="160"/>
      <c r="P20" s="165">
        <v>18</v>
      </c>
      <c r="Q20" s="160"/>
      <c r="R20" s="165">
        <v>53</v>
      </c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</row>
    <row r="21" spans="2:29" ht="14.25" customHeight="1" x14ac:dyDescent="0.25">
      <c r="B21" s="141" t="s">
        <v>96</v>
      </c>
      <c r="C21" s="141"/>
      <c r="D21" s="141"/>
      <c r="E21" s="166">
        <v>8</v>
      </c>
      <c r="F21" s="161"/>
      <c r="G21" s="162">
        <v>112420</v>
      </c>
      <c r="H21" s="161"/>
      <c r="I21" s="162">
        <v>109838</v>
      </c>
      <c r="J21" s="141"/>
      <c r="K21" s="141"/>
      <c r="L21" s="141"/>
      <c r="M21" s="141"/>
      <c r="N21" s="153"/>
      <c r="O21" s="153"/>
      <c r="P21" s="163"/>
      <c r="Q21" s="153"/>
      <c r="R21" s="163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</row>
    <row r="22" spans="2:29" ht="14.25" customHeight="1" x14ac:dyDescent="0.25">
      <c r="B22" s="141" t="s">
        <v>97</v>
      </c>
      <c r="C22" s="141"/>
      <c r="D22" s="141"/>
      <c r="E22" s="166">
        <v>9</v>
      </c>
      <c r="F22" s="161"/>
      <c r="G22" s="162">
        <v>106991</v>
      </c>
      <c r="H22" s="161"/>
      <c r="I22" s="162">
        <v>110142</v>
      </c>
      <c r="J22" s="141"/>
      <c r="K22" s="146"/>
      <c r="L22" s="146"/>
      <c r="M22" s="141"/>
      <c r="N22" s="153"/>
      <c r="O22" s="153"/>
      <c r="P22" s="165">
        <f>P18+P19+P20</f>
        <v>154624</v>
      </c>
      <c r="Q22" s="153"/>
      <c r="R22" s="165">
        <f>R18+R19+R20</f>
        <v>164966</v>
      </c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</row>
    <row r="23" spans="2:29" ht="14.25" customHeight="1" x14ac:dyDescent="0.25">
      <c r="B23" s="141" t="s">
        <v>98</v>
      </c>
      <c r="C23" s="141"/>
      <c r="D23" s="141"/>
      <c r="E23" s="166">
        <v>10</v>
      </c>
      <c r="F23" s="161"/>
      <c r="G23" s="165">
        <v>64608</v>
      </c>
      <c r="H23" s="161"/>
      <c r="I23" s="165">
        <v>68013</v>
      </c>
      <c r="J23" s="141"/>
      <c r="K23" s="146"/>
      <c r="L23" s="146"/>
      <c r="M23" s="141"/>
      <c r="N23" s="153"/>
      <c r="O23" s="153"/>
      <c r="P23" s="163"/>
      <c r="Q23" s="153"/>
      <c r="R23" s="163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  <row r="24" spans="2:29" ht="14.25" customHeight="1" x14ac:dyDescent="0.25">
      <c r="B24" s="141"/>
      <c r="C24" s="141"/>
      <c r="D24" s="141"/>
      <c r="E24" s="141"/>
      <c r="F24" s="141"/>
      <c r="G24" s="162"/>
      <c r="H24" s="141"/>
      <c r="I24" s="162"/>
      <c r="J24" s="141"/>
      <c r="K24" s="146"/>
      <c r="L24" s="146"/>
      <c r="M24" s="141"/>
      <c r="N24" s="153"/>
      <c r="O24" s="153"/>
      <c r="P24" s="163"/>
      <c r="Q24" s="153"/>
      <c r="R24" s="163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</row>
    <row r="25" spans="2:29" ht="14.25" customHeight="1" x14ac:dyDescent="0.25">
      <c r="C25" s="141"/>
      <c r="D25" s="141"/>
      <c r="E25" s="141"/>
      <c r="F25" s="141"/>
      <c r="G25" s="167">
        <f>G19+G21+G22+G23+G20</f>
        <v>302558</v>
      </c>
      <c r="H25" s="141"/>
      <c r="I25" s="167">
        <f>I19+I21+I22+I23+I20</f>
        <v>308483</v>
      </c>
      <c r="J25" s="141"/>
      <c r="K25" s="146" t="s">
        <v>99</v>
      </c>
      <c r="L25" s="141"/>
      <c r="M25" s="141"/>
      <c r="N25" s="153"/>
      <c r="O25" s="153"/>
      <c r="P25" s="163"/>
      <c r="Q25" s="153"/>
      <c r="R25" s="163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</row>
    <row r="26" spans="2:29" ht="14.25" customHeight="1" x14ac:dyDescent="0.25">
      <c r="B26" s="141"/>
      <c r="C26" s="141"/>
      <c r="D26" s="141"/>
      <c r="E26" s="141"/>
      <c r="F26" s="141"/>
      <c r="G26" s="162"/>
      <c r="H26" s="141"/>
      <c r="I26" s="162"/>
      <c r="J26" s="141"/>
      <c r="K26" s="141" t="s">
        <v>106</v>
      </c>
      <c r="L26" s="141"/>
      <c r="M26" s="141"/>
      <c r="N26" s="153">
        <v>12</v>
      </c>
      <c r="O26" s="153"/>
      <c r="P26" s="163">
        <v>247250</v>
      </c>
      <c r="Q26" s="153"/>
      <c r="R26" s="163">
        <v>247250</v>
      </c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2:29" ht="14.25" customHeight="1" x14ac:dyDescent="0.25">
      <c r="B27" s="141"/>
      <c r="C27" s="141"/>
      <c r="D27" s="141"/>
      <c r="E27" s="141"/>
      <c r="F27" s="141"/>
      <c r="G27" s="170"/>
      <c r="H27" s="141"/>
      <c r="I27" s="168"/>
      <c r="J27" s="141"/>
      <c r="L27" s="141" t="s">
        <v>42</v>
      </c>
      <c r="M27" s="141"/>
      <c r="N27" s="141"/>
      <c r="O27" s="141"/>
      <c r="P27" s="163">
        <f>49717+10642+9579</f>
        <v>69938</v>
      </c>
      <c r="Q27" s="141"/>
      <c r="R27" s="163">
        <f>34147+7338</f>
        <v>41485</v>
      </c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</row>
    <row r="28" spans="2:29" ht="14.25" customHeight="1" x14ac:dyDescent="0.25">
      <c r="B28" s="141"/>
      <c r="C28" s="141"/>
      <c r="D28" s="141"/>
      <c r="E28" s="141"/>
      <c r="F28" s="141"/>
      <c r="G28" s="170"/>
      <c r="H28" s="141"/>
      <c r="I28" s="170"/>
      <c r="J28" s="141"/>
      <c r="L28" s="141" t="s">
        <v>113</v>
      </c>
      <c r="M28" s="141"/>
      <c r="N28" s="141"/>
      <c r="O28" s="141"/>
      <c r="P28" s="169">
        <v>0</v>
      </c>
      <c r="Q28" s="141"/>
      <c r="R28" s="169">
        <v>8855</v>
      </c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2:29" ht="14.25" customHeight="1" x14ac:dyDescent="0.25">
      <c r="B29" s="141"/>
      <c r="C29" s="141"/>
      <c r="D29" s="141"/>
      <c r="E29" s="141"/>
      <c r="F29" s="141"/>
      <c r="G29" s="170"/>
      <c r="H29" s="141"/>
      <c r="I29" s="170"/>
      <c r="J29" s="141"/>
      <c r="K29" s="146"/>
      <c r="L29" s="146"/>
      <c r="M29" s="141"/>
      <c r="N29" s="141"/>
      <c r="O29" s="141"/>
      <c r="P29" s="177">
        <f>P26+P27+P28</f>
        <v>317188</v>
      </c>
      <c r="Q29" s="141"/>
      <c r="R29" s="177">
        <f>R26+R27+R28</f>
        <v>297590</v>
      </c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2:29" ht="14.25" customHeight="1" x14ac:dyDescent="0.25">
      <c r="B30" s="141"/>
      <c r="C30" s="141"/>
      <c r="D30" s="141"/>
      <c r="E30" s="141"/>
      <c r="F30" s="141"/>
      <c r="G30" s="162"/>
      <c r="H30" s="141"/>
      <c r="I30" s="162"/>
      <c r="J30" s="141"/>
      <c r="K30" s="146"/>
      <c r="L30" s="146"/>
      <c r="M30" s="141"/>
      <c r="N30" s="141"/>
      <c r="O30" s="141"/>
      <c r="P30" s="163"/>
      <c r="Q30" s="141"/>
      <c r="R30" s="163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</row>
    <row r="31" spans="2:29" ht="14.25" customHeight="1" thickBot="1" x14ac:dyDescent="0.3">
      <c r="B31" s="146" t="s">
        <v>88</v>
      </c>
      <c r="C31" s="141"/>
      <c r="D31" s="146"/>
      <c r="E31" s="141"/>
      <c r="F31" s="141"/>
      <c r="G31" s="175">
        <f>G15+G25</f>
        <v>490290</v>
      </c>
      <c r="H31" s="141"/>
      <c r="I31" s="175">
        <f>I15+I25</f>
        <v>474760</v>
      </c>
      <c r="J31" s="141"/>
      <c r="K31" s="146" t="s">
        <v>89</v>
      </c>
      <c r="M31" s="146"/>
      <c r="N31" s="141"/>
      <c r="O31" s="141"/>
      <c r="P31" s="176">
        <f>P15+P22+P29</f>
        <v>490290</v>
      </c>
      <c r="Q31" s="141"/>
      <c r="R31" s="176">
        <f>R15+R22+R29+1</f>
        <v>474760</v>
      </c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</row>
    <row r="32" spans="2:29" ht="14.25" customHeight="1" thickTop="1" x14ac:dyDescent="0.25">
      <c r="B32" s="141"/>
      <c r="C32" s="141"/>
      <c r="D32" s="158"/>
      <c r="E32" s="158"/>
      <c r="F32" s="158"/>
      <c r="G32" s="158"/>
      <c r="H32" s="158"/>
      <c r="I32" s="158"/>
      <c r="J32" s="150"/>
      <c r="K32" s="146"/>
      <c r="S32" s="179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</row>
    <row r="33" spans="1:29" ht="14.25" customHeight="1" x14ac:dyDescent="0.25">
      <c r="B33" s="141"/>
      <c r="C33" s="141"/>
      <c r="D33" s="158"/>
      <c r="E33" s="158"/>
      <c r="F33" s="158"/>
      <c r="G33" s="158"/>
      <c r="H33" s="158"/>
      <c r="I33" s="158"/>
      <c r="J33" s="150"/>
      <c r="P33" s="172"/>
      <c r="R33" s="172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</row>
    <row r="34" spans="1:29" ht="14.25" customHeight="1" x14ac:dyDescent="0.2">
      <c r="A34" s="174"/>
      <c r="B34" s="183" t="s">
        <v>109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ht="14.25" customHeight="1" x14ac:dyDescent="0.25">
      <c r="J35" s="150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</row>
    <row r="36" spans="1:29" ht="14.25" customHeight="1" x14ac:dyDescent="0.25"/>
    <row r="37" spans="1:29" ht="14.25" customHeight="1" x14ac:dyDescent="0.25">
      <c r="J37" s="143"/>
    </row>
    <row r="38" spans="1:29" ht="14.25" customHeight="1" x14ac:dyDescent="0.25"/>
    <row r="39" spans="1:29" ht="14.25" customHeight="1" x14ac:dyDescent="0.25"/>
    <row r="40" spans="1:29" ht="14.25" customHeight="1" x14ac:dyDescent="0.25"/>
    <row r="41" spans="1:29" ht="14.25" customHeight="1" x14ac:dyDescent="0.25"/>
    <row r="42" spans="1:29" ht="14.25" customHeight="1" x14ac:dyDescent="0.25"/>
    <row r="43" spans="1:29" ht="14.25" customHeight="1" x14ac:dyDescent="0.25"/>
    <row r="44" spans="1:29" ht="14.25" customHeight="1" x14ac:dyDescent="0.25"/>
  </sheetData>
  <mergeCells count="1">
    <mergeCell ref="B34:R34"/>
  </mergeCells>
  <pageMargins left="0.25" right="0.25" top="0.75" bottom="0.75" header="0.3" footer="0.3"/>
  <pageSetup paperSize="9" scale="90" firstPageNumber="7" orientation="landscape" useFirstPageNumber="1" r:id="rId1"/>
  <headerFooter scaleWithDoc="0" alignWithMargins="0">
    <oddFooter>&amp;C&amp;"Times New Roman,Normal"&amp;P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0" zoomScaleNormal="100" zoomScaleSheetLayoutView="100" workbookViewId="0">
      <selection activeCell="G26" sqref="G26"/>
    </sheetView>
  </sheetViews>
  <sheetFormatPr defaultRowHeight="15" x14ac:dyDescent="0.25"/>
  <cols>
    <col min="1" max="1" width="39.5703125" style="8" customWidth="1"/>
    <col min="2" max="2" width="2" style="8" customWidth="1"/>
    <col min="3" max="3" width="15.42578125" style="8" customWidth="1"/>
    <col min="4" max="4" width="1.7109375" style="8" customWidth="1"/>
    <col min="5" max="5" width="14.42578125" style="8" customWidth="1"/>
    <col min="6" max="6" width="1.85546875" style="8" customWidth="1"/>
    <col min="7" max="7" width="15.5703125" style="8" customWidth="1"/>
    <col min="8" max="8" width="2" style="8" customWidth="1"/>
    <col min="9" max="9" width="15.140625" style="8" customWidth="1"/>
    <col min="10" max="10" width="1.85546875" style="8" customWidth="1"/>
    <col min="11" max="11" width="14" style="8" customWidth="1"/>
    <col min="12" max="16384" width="9.140625" style="8"/>
  </cols>
  <sheetData>
    <row r="1" spans="1:11" ht="16.5" x14ac:dyDescent="0.35">
      <c r="A1" s="124" t="s">
        <v>40</v>
      </c>
      <c r="B1" s="124"/>
      <c r="C1" s="124"/>
      <c r="D1" s="112"/>
      <c r="E1" s="124"/>
      <c r="F1" s="124"/>
      <c r="G1" s="124"/>
      <c r="H1" s="124"/>
      <c r="I1" s="124"/>
      <c r="J1" s="124"/>
      <c r="K1" s="124"/>
    </row>
    <row r="2" spans="1:11" ht="16.5" x14ac:dyDescent="0.35">
      <c r="A2" s="124"/>
      <c r="B2" s="124"/>
      <c r="C2" s="124"/>
      <c r="D2" s="112"/>
      <c r="E2" s="124"/>
      <c r="F2" s="124"/>
      <c r="G2" s="124"/>
      <c r="H2" s="124"/>
      <c r="I2" s="124"/>
      <c r="J2" s="124"/>
      <c r="K2" s="124"/>
    </row>
    <row r="3" spans="1:11" ht="16.5" x14ac:dyDescent="0.35">
      <c r="A3" s="124" t="s">
        <v>0</v>
      </c>
      <c r="B3" s="124"/>
      <c r="C3" s="124"/>
      <c r="D3" s="112"/>
      <c r="E3" s="124"/>
      <c r="F3" s="124"/>
      <c r="G3" s="124"/>
      <c r="H3" s="124"/>
      <c r="I3" s="124"/>
      <c r="J3" s="124"/>
      <c r="K3" s="124"/>
    </row>
    <row r="4" spans="1:11" ht="16.5" x14ac:dyDescent="0.35">
      <c r="A4" s="124"/>
      <c r="B4" s="124"/>
      <c r="C4" s="124"/>
      <c r="D4" s="112"/>
      <c r="E4" s="124"/>
      <c r="F4" s="124"/>
      <c r="G4" s="124"/>
      <c r="H4" s="124"/>
      <c r="I4" s="124"/>
      <c r="J4" s="124"/>
      <c r="K4" s="124"/>
    </row>
    <row r="5" spans="1:11" ht="16.5" x14ac:dyDescent="0.35">
      <c r="A5" s="124" t="s">
        <v>41</v>
      </c>
      <c r="B5" s="124"/>
      <c r="C5" s="124"/>
      <c r="D5" s="112"/>
      <c r="E5" s="124"/>
      <c r="F5" s="124"/>
      <c r="G5" s="124"/>
      <c r="H5" s="124"/>
      <c r="I5" s="124"/>
      <c r="J5" s="124"/>
      <c r="K5" s="124"/>
    </row>
    <row r="6" spans="1:11" ht="16.5" x14ac:dyDescent="0.35">
      <c r="A6" s="28" t="s">
        <v>38</v>
      </c>
      <c r="B6" s="28"/>
      <c r="C6" s="124"/>
      <c r="D6" s="112"/>
      <c r="E6" s="124"/>
      <c r="F6" s="124"/>
      <c r="G6" s="124"/>
      <c r="H6" s="124"/>
      <c r="I6" s="124"/>
      <c r="J6" s="124"/>
      <c r="K6" s="124"/>
    </row>
    <row r="7" spans="1:11" ht="16.5" x14ac:dyDescent="0.35">
      <c r="A7" s="124" t="s">
        <v>39</v>
      </c>
      <c r="B7" s="124"/>
      <c r="C7" s="124"/>
      <c r="D7" s="112"/>
      <c r="E7" s="124"/>
      <c r="F7" s="124"/>
      <c r="G7" s="124"/>
      <c r="H7" s="124"/>
      <c r="I7" s="124"/>
      <c r="J7" s="124"/>
      <c r="K7" s="124"/>
    </row>
    <row r="8" spans="1:11" ht="16.5" x14ac:dyDescent="0.35">
      <c r="A8" s="125"/>
      <c r="B8" s="125"/>
      <c r="C8" s="126"/>
      <c r="D8" s="4"/>
      <c r="E8" s="126"/>
      <c r="F8" s="126"/>
      <c r="G8" s="126"/>
      <c r="H8" s="126"/>
      <c r="I8" s="126"/>
      <c r="J8" s="125"/>
      <c r="K8" s="125"/>
    </row>
    <row r="9" spans="1:11" ht="16.5" x14ac:dyDescent="0.35">
      <c r="A9" s="125"/>
      <c r="B9" s="125"/>
      <c r="C9" s="126"/>
      <c r="D9" s="4"/>
      <c r="E9" s="126"/>
      <c r="F9" s="126"/>
      <c r="G9" s="126"/>
      <c r="H9" s="126"/>
      <c r="I9" s="126"/>
      <c r="J9" s="125"/>
      <c r="K9" s="125"/>
    </row>
    <row r="10" spans="1:11" ht="16.5" x14ac:dyDescent="0.35">
      <c r="A10" s="125"/>
      <c r="B10" s="125"/>
      <c r="C10" s="126"/>
      <c r="D10" s="4"/>
      <c r="E10" s="4"/>
      <c r="F10" s="4"/>
      <c r="G10" s="4"/>
      <c r="H10" s="4"/>
      <c r="I10" s="127" t="s">
        <v>43</v>
      </c>
      <c r="J10" s="125"/>
      <c r="K10" s="125"/>
    </row>
    <row r="11" spans="1:11" ht="16.5" x14ac:dyDescent="0.35">
      <c r="A11" s="125"/>
      <c r="B11" s="125"/>
      <c r="C11" s="128" t="s">
        <v>44</v>
      </c>
      <c r="D11" s="7"/>
      <c r="E11" s="129" t="s">
        <v>45</v>
      </c>
      <c r="F11" s="7"/>
      <c r="G11" s="129" t="s">
        <v>42</v>
      </c>
      <c r="H11" s="7"/>
      <c r="I11" s="128" t="s">
        <v>50</v>
      </c>
      <c r="J11" s="127"/>
      <c r="K11" s="129" t="s">
        <v>46</v>
      </c>
    </row>
    <row r="12" spans="1:11" ht="16.5" x14ac:dyDescent="0.35">
      <c r="A12" s="125"/>
      <c r="B12" s="125"/>
      <c r="C12" s="4"/>
      <c r="D12" s="4"/>
      <c r="E12" s="4"/>
      <c r="F12" s="4"/>
      <c r="G12" s="4"/>
      <c r="H12" s="4"/>
      <c r="I12" s="4"/>
      <c r="J12" s="125"/>
      <c r="K12" s="4"/>
    </row>
    <row r="13" spans="1:11" ht="16.5" x14ac:dyDescent="0.35">
      <c r="A13" s="125" t="s">
        <v>75</v>
      </c>
      <c r="B13" s="125"/>
      <c r="C13" s="12">
        <f>215696330/1000</f>
        <v>215696.33</v>
      </c>
      <c r="D13" s="13"/>
      <c r="E13" s="12"/>
      <c r="F13" s="12"/>
      <c r="G13" s="12">
        <v>44197</v>
      </c>
      <c r="H13" s="12"/>
      <c r="I13" s="12"/>
      <c r="J13" s="12"/>
      <c r="K13" s="12">
        <f>SUM(C13:H13,I13)</f>
        <v>259893.33</v>
      </c>
    </row>
    <row r="14" spans="1:11" ht="16.5" x14ac:dyDescent="0.35">
      <c r="A14" s="125"/>
      <c r="B14" s="125"/>
      <c r="C14" s="12"/>
      <c r="D14" s="13"/>
      <c r="E14" s="12"/>
      <c r="F14" s="12"/>
      <c r="G14" s="12"/>
      <c r="H14" s="12"/>
      <c r="I14" s="12"/>
      <c r="J14" s="12"/>
      <c r="K14" s="12"/>
    </row>
    <row r="15" spans="1:11" ht="16.5" x14ac:dyDescent="0.35">
      <c r="A15" s="125" t="s">
        <v>76</v>
      </c>
      <c r="B15" s="125"/>
      <c r="C15" s="12"/>
      <c r="D15" s="13"/>
      <c r="E15" s="12"/>
      <c r="F15" s="12"/>
      <c r="G15" s="12">
        <v>16168</v>
      </c>
      <c r="H15" s="12"/>
      <c r="I15" s="12"/>
      <c r="J15" s="12"/>
      <c r="K15" s="12">
        <v>16168</v>
      </c>
    </row>
    <row r="16" spans="1:11" ht="16.5" x14ac:dyDescent="0.35">
      <c r="A16" s="125" t="s">
        <v>47</v>
      </c>
      <c r="B16" s="125"/>
      <c r="C16" s="12"/>
      <c r="D16" s="13"/>
      <c r="E16" s="12">
        <v>0</v>
      </c>
      <c r="F16" s="12"/>
      <c r="G16" s="12" t="s">
        <v>37</v>
      </c>
      <c r="H16" s="12"/>
      <c r="I16" s="12">
        <v>12371</v>
      </c>
      <c r="J16" s="12"/>
      <c r="K16" s="12">
        <f>SUM(C16:H16,I16)</f>
        <v>12371</v>
      </c>
    </row>
    <row r="17" spans="1:12" ht="16.5" x14ac:dyDescent="0.35">
      <c r="A17" s="125" t="s">
        <v>77</v>
      </c>
      <c r="B17" s="125"/>
      <c r="C17" s="12"/>
      <c r="D17" s="13"/>
      <c r="E17" s="12"/>
      <c r="F17" s="12"/>
      <c r="G17" s="12"/>
      <c r="H17" s="12"/>
      <c r="I17" s="12"/>
      <c r="J17" s="12"/>
      <c r="K17" s="12"/>
    </row>
    <row r="18" spans="1:12" ht="16.5" x14ac:dyDescent="0.35">
      <c r="A18" s="125" t="s">
        <v>79</v>
      </c>
      <c r="B18" s="125"/>
      <c r="C18" s="12"/>
      <c r="D18" s="13"/>
      <c r="E18" s="12">
        <v>619</v>
      </c>
      <c r="F18" s="12"/>
      <c r="G18" s="12"/>
      <c r="H18" s="12"/>
      <c r="I18" s="12">
        <v>-619</v>
      </c>
      <c r="J18" s="12"/>
      <c r="K18" s="12"/>
    </row>
    <row r="19" spans="1:12" ht="16.5" x14ac:dyDescent="0.35">
      <c r="A19" s="125" t="s">
        <v>80</v>
      </c>
      <c r="B19" s="125"/>
      <c r="C19" s="12"/>
      <c r="D19" s="13"/>
      <c r="E19" s="12"/>
      <c r="F19" s="12"/>
      <c r="G19" s="12"/>
      <c r="H19" s="12"/>
      <c r="I19" s="12">
        <v>-2938</v>
      </c>
      <c r="J19" s="12"/>
      <c r="K19" s="12">
        <v>-2938</v>
      </c>
    </row>
    <row r="20" spans="1:12" ht="16.5" x14ac:dyDescent="0.35">
      <c r="A20" s="125" t="s">
        <v>81</v>
      </c>
      <c r="B20" s="125"/>
      <c r="C20" s="14"/>
      <c r="D20" s="13"/>
      <c r="E20" s="14"/>
      <c r="F20" s="13"/>
      <c r="G20" s="14">
        <v>8814</v>
      </c>
      <c r="H20" s="13"/>
      <c r="I20" s="14">
        <v>-8814</v>
      </c>
      <c r="J20" s="12"/>
      <c r="K20" s="14"/>
    </row>
    <row r="21" spans="1:12" ht="16.5" x14ac:dyDescent="0.35">
      <c r="A21" s="125"/>
      <c r="B21" s="125"/>
      <c r="C21" s="12"/>
      <c r="D21" s="13"/>
      <c r="E21" s="12"/>
      <c r="F21" s="12"/>
      <c r="G21" s="12"/>
      <c r="H21" s="12"/>
      <c r="I21" s="12"/>
      <c r="J21" s="12"/>
      <c r="K21" s="12"/>
    </row>
    <row r="22" spans="1:12" ht="16.5" x14ac:dyDescent="0.35">
      <c r="A22" s="125" t="s">
        <v>78</v>
      </c>
      <c r="B22" s="125"/>
      <c r="C22" s="12">
        <f>SUM(C13:C20)</f>
        <v>215696.33</v>
      </c>
      <c r="D22" s="13"/>
      <c r="E22" s="12">
        <v>619</v>
      </c>
      <c r="F22" s="12"/>
      <c r="G22" s="12">
        <f>SUM(G13:G20)</f>
        <v>69179</v>
      </c>
      <c r="H22" s="12"/>
      <c r="I22" s="12"/>
      <c r="J22" s="12"/>
      <c r="K22" s="12">
        <f>SUM(K13:K20)</f>
        <v>285494.32999999996</v>
      </c>
    </row>
    <row r="23" spans="1:12" ht="16.5" x14ac:dyDescent="0.35">
      <c r="A23" s="125"/>
      <c r="B23" s="125"/>
      <c r="C23" s="12"/>
      <c r="D23" s="13"/>
      <c r="E23" s="12"/>
      <c r="F23" s="12"/>
      <c r="G23" s="12"/>
      <c r="H23" s="12"/>
      <c r="I23" s="12"/>
      <c r="J23" s="12"/>
      <c r="K23" s="12"/>
    </row>
    <row r="24" spans="1:12" ht="16.5" x14ac:dyDescent="0.35">
      <c r="A24" s="125" t="s">
        <v>48</v>
      </c>
      <c r="B24" s="125"/>
      <c r="C24" s="12"/>
      <c r="D24" s="13"/>
      <c r="E24" s="12">
        <v>0</v>
      </c>
      <c r="F24" s="12"/>
      <c r="G24" s="12">
        <v>-1831</v>
      </c>
      <c r="H24" s="12"/>
      <c r="I24" s="12" t="s">
        <v>37</v>
      </c>
      <c r="J24" s="12"/>
      <c r="K24" s="12">
        <f>SUM(C24:H24,I24)</f>
        <v>-1831</v>
      </c>
    </row>
    <row r="25" spans="1:12" ht="16.5" x14ac:dyDescent="0.35">
      <c r="A25" s="125" t="s">
        <v>47</v>
      </c>
      <c r="B25" s="125"/>
      <c r="C25" s="12"/>
      <c r="D25" s="13"/>
      <c r="E25" s="12"/>
      <c r="F25" s="12"/>
      <c r="G25" s="12" t="s">
        <v>37</v>
      </c>
      <c r="H25" s="12"/>
      <c r="I25" s="12">
        <v>10329</v>
      </c>
      <c r="J25" s="12"/>
      <c r="K25" s="12">
        <f>SUM(C25:H25,I25)</f>
        <v>10329</v>
      </c>
    </row>
    <row r="26" spans="1:12" ht="16.5" x14ac:dyDescent="0.35">
      <c r="A26" s="125" t="s">
        <v>55</v>
      </c>
      <c r="B26" s="125"/>
      <c r="C26" s="12"/>
      <c r="D26" s="13"/>
      <c r="E26" s="12"/>
      <c r="F26" s="12"/>
      <c r="G26" s="12">
        <v>-26214</v>
      </c>
      <c r="H26" s="12"/>
      <c r="I26" s="12"/>
      <c r="J26" s="12"/>
      <c r="K26" s="12">
        <f>-26213500/1000</f>
        <v>-26213.5</v>
      </c>
    </row>
    <row r="27" spans="1:12" ht="16.5" x14ac:dyDescent="0.35">
      <c r="A27" s="125" t="s">
        <v>53</v>
      </c>
      <c r="B27" s="130"/>
      <c r="C27" s="15"/>
      <c r="D27" s="13"/>
      <c r="E27" s="12"/>
      <c r="F27" s="12"/>
      <c r="G27" s="12"/>
      <c r="H27" s="12"/>
      <c r="I27" s="12"/>
      <c r="J27" s="12"/>
      <c r="K27" s="12"/>
    </row>
    <row r="28" spans="1:12" ht="16.5" x14ac:dyDescent="0.35">
      <c r="A28" s="131" t="s">
        <v>54</v>
      </c>
      <c r="B28" s="130"/>
      <c r="C28" s="15"/>
      <c r="D28" s="13"/>
      <c r="E28" s="12">
        <f>516455.58/1000</f>
        <v>516.45558000000005</v>
      </c>
      <c r="F28" s="12"/>
      <c r="G28" s="12"/>
      <c r="H28" s="12"/>
      <c r="I28" s="12">
        <v>-516</v>
      </c>
      <c r="J28" s="12"/>
      <c r="K28" s="12"/>
    </row>
    <row r="29" spans="1:12" ht="16.5" x14ac:dyDescent="0.35">
      <c r="A29" s="132" t="s">
        <v>66</v>
      </c>
      <c r="B29" s="130"/>
      <c r="C29" s="26"/>
      <c r="D29" s="13"/>
      <c r="E29" s="13" t="s">
        <v>37</v>
      </c>
      <c r="F29" s="13"/>
      <c r="G29" s="13"/>
      <c r="H29" s="13"/>
      <c r="I29" s="13">
        <v>-4906</v>
      </c>
      <c r="J29" s="12"/>
      <c r="K29" s="13">
        <v>-4906</v>
      </c>
    </row>
    <row r="30" spans="1:12" ht="16.5" x14ac:dyDescent="0.35">
      <c r="A30" s="132" t="s">
        <v>67</v>
      </c>
      <c r="B30" s="130"/>
      <c r="C30" s="16"/>
      <c r="D30" s="13"/>
      <c r="E30" s="14" t="s">
        <v>37</v>
      </c>
      <c r="F30" s="13"/>
      <c r="G30" s="14">
        <v>4907</v>
      </c>
      <c r="H30" s="13"/>
      <c r="I30" s="14">
        <v>-4907</v>
      </c>
      <c r="J30" s="12"/>
      <c r="K30" s="14"/>
    </row>
    <row r="31" spans="1:12" ht="16.5" x14ac:dyDescent="0.35">
      <c r="A31" s="125"/>
      <c r="B31" s="125"/>
      <c r="C31" s="12"/>
      <c r="D31" s="13"/>
      <c r="E31" s="12"/>
      <c r="F31" s="12"/>
      <c r="G31" s="12"/>
      <c r="H31" s="12"/>
      <c r="I31" s="12"/>
      <c r="J31" s="12"/>
      <c r="K31" s="12"/>
    </row>
    <row r="32" spans="1:12" ht="17.25" thickBot="1" x14ac:dyDescent="0.4">
      <c r="A32" s="125" t="s">
        <v>82</v>
      </c>
      <c r="B32" s="125"/>
      <c r="C32" s="17">
        <f>SUM(C22:C29)</f>
        <v>215696.33</v>
      </c>
      <c r="D32" s="13"/>
      <c r="E32" s="17">
        <f>SUM(E22:E29)</f>
        <v>1135.4555800000001</v>
      </c>
      <c r="F32" s="13"/>
      <c r="G32" s="17">
        <f>SUM(G22:G30)</f>
        <v>46041</v>
      </c>
      <c r="H32" s="13"/>
      <c r="I32" s="17">
        <f>SUM(I22:I30)</f>
        <v>0</v>
      </c>
      <c r="J32" s="12"/>
      <c r="K32" s="17">
        <f>SUM(K22:K29)</f>
        <v>262872.82999999996</v>
      </c>
      <c r="L32" s="8" t="s">
        <v>34</v>
      </c>
    </row>
    <row r="33" spans="1:11" ht="18" thickTop="1" x14ac:dyDescent="0.35">
      <c r="A33" s="133"/>
      <c r="B33" s="133"/>
      <c r="C33" s="5"/>
      <c r="D33" s="6"/>
      <c r="E33" s="5"/>
      <c r="F33" s="5"/>
      <c r="G33" s="5"/>
      <c r="H33" s="5"/>
      <c r="I33" s="5"/>
      <c r="J33" s="5"/>
      <c r="K33" s="5"/>
    </row>
    <row r="34" spans="1:11" ht="17.25" x14ac:dyDescent="0.35">
      <c r="A34" s="134"/>
      <c r="B34" s="133"/>
      <c r="C34" s="5"/>
      <c r="D34" s="6"/>
      <c r="E34" s="5"/>
      <c r="F34" s="5"/>
      <c r="G34" s="5"/>
      <c r="H34" s="5"/>
      <c r="I34" s="5"/>
      <c r="J34" s="5"/>
      <c r="K34" s="5"/>
    </row>
    <row r="35" spans="1:11" x14ac:dyDescent="0.25">
      <c r="A35" s="135"/>
    </row>
    <row r="36" spans="1:11" x14ac:dyDescent="0.25">
      <c r="A36" s="135"/>
    </row>
  </sheetData>
  <pageMargins left="0.511811024" right="0.511811024" top="0.78740157499999996" bottom="0.78740157499999996" header="0.31496062000000002" footer="0.31496062000000002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showGridLines="0" topLeftCell="A16" zoomScaleNormal="100" zoomScaleSheetLayoutView="85" workbookViewId="0">
      <selection activeCell="C26" sqref="C26"/>
    </sheetView>
  </sheetViews>
  <sheetFormatPr defaultRowHeight="14.25" x14ac:dyDescent="0.2"/>
  <cols>
    <col min="1" max="1" width="4.7109375" style="186" customWidth="1"/>
    <col min="2" max="2" width="1.7109375" style="185" customWidth="1"/>
    <col min="3" max="3" width="45.42578125" style="185" customWidth="1"/>
    <col min="4" max="4" width="1.5703125" style="185" customWidth="1"/>
    <col min="5" max="5" width="6.7109375" style="185" customWidth="1"/>
    <col min="6" max="6" width="1.85546875" style="185" customWidth="1"/>
    <col min="7" max="7" width="13.140625" style="185" customWidth="1"/>
    <col min="8" max="8" width="1.85546875" style="185" customWidth="1"/>
    <col min="9" max="9" width="13.140625" style="185" customWidth="1"/>
    <col min="10" max="10" width="1.7109375" style="185" customWidth="1"/>
    <col min="11" max="12" width="9.140625" style="186"/>
    <col min="13" max="13" width="22" style="186" customWidth="1"/>
    <col min="14" max="16384" width="9.140625" style="186"/>
  </cols>
  <sheetData>
    <row r="2" spans="2:10" ht="13.5" customHeight="1" x14ac:dyDescent="0.25">
      <c r="B2" s="184" t="s">
        <v>115</v>
      </c>
      <c r="C2" s="184"/>
    </row>
    <row r="3" spans="2:10" ht="12.75" customHeight="1" x14ac:dyDescent="0.25">
      <c r="B3" s="184" t="s">
        <v>112</v>
      </c>
      <c r="C3" s="184"/>
    </row>
    <row r="4" spans="2:10" ht="15" x14ac:dyDescent="0.25">
      <c r="B4" s="184" t="s">
        <v>116</v>
      </c>
      <c r="C4" s="184"/>
      <c r="D4" s="184"/>
      <c r="E4" s="184"/>
      <c r="F4" s="184"/>
      <c r="G4" s="184"/>
      <c r="H4" s="184"/>
      <c r="I4" s="184"/>
      <c r="J4" s="184"/>
    </row>
    <row r="5" spans="2:10" ht="14.25" customHeight="1" x14ac:dyDescent="0.2">
      <c r="B5" s="187" t="s">
        <v>86</v>
      </c>
      <c r="C5" s="188"/>
      <c r="D5" s="189"/>
      <c r="E5" s="189"/>
      <c r="F5" s="189"/>
      <c r="G5" s="189"/>
      <c r="H5" s="189"/>
      <c r="I5" s="189"/>
      <c r="J5" s="189"/>
    </row>
    <row r="6" spans="2:10" ht="14.25" customHeight="1" thickBot="1" x14ac:dyDescent="0.3">
      <c r="B6" s="208"/>
      <c r="C6" s="208"/>
      <c r="D6" s="208"/>
      <c r="E6" s="190" t="s">
        <v>90</v>
      </c>
      <c r="F6" s="190"/>
      <c r="G6" s="191">
        <v>2017</v>
      </c>
      <c r="H6" s="190"/>
      <c r="I6" s="191">
        <v>2016</v>
      </c>
      <c r="J6" s="190"/>
    </row>
    <row r="7" spans="2:10" ht="14.25" customHeight="1" x14ac:dyDescent="0.25">
      <c r="B7" s="209"/>
      <c r="C7" s="209"/>
      <c r="D7" s="209"/>
      <c r="E7" s="209"/>
      <c r="F7" s="209"/>
      <c r="G7" s="209"/>
      <c r="H7" s="209"/>
      <c r="I7" s="209"/>
      <c r="J7" s="209"/>
    </row>
    <row r="8" spans="2:10" ht="14.25" customHeight="1" x14ac:dyDescent="0.25">
      <c r="B8" s="192" t="s">
        <v>117</v>
      </c>
      <c r="C8" s="209"/>
      <c r="D8" s="209"/>
      <c r="E8" s="193">
        <v>13</v>
      </c>
      <c r="F8" s="193"/>
      <c r="G8" s="193">
        <v>88885</v>
      </c>
      <c r="H8" s="193"/>
      <c r="I8" s="193">
        <v>78057</v>
      </c>
      <c r="J8" s="193"/>
    </row>
    <row r="9" spans="2:10" ht="14.25" customHeight="1" x14ac:dyDescent="0.25">
      <c r="B9" s="194"/>
      <c r="C9" s="209"/>
      <c r="D9" s="209"/>
      <c r="E9" s="209"/>
      <c r="F9" s="209"/>
      <c r="G9" s="209"/>
      <c r="H9" s="209"/>
      <c r="I9" s="209"/>
      <c r="J9" s="209"/>
    </row>
    <row r="10" spans="2:10" ht="14.25" customHeight="1" x14ac:dyDescent="0.2">
      <c r="B10" s="194" t="s">
        <v>118</v>
      </c>
      <c r="C10" s="210"/>
      <c r="D10" s="210"/>
      <c r="E10" s="195">
        <v>14</v>
      </c>
      <c r="F10" s="195"/>
      <c r="G10" s="193">
        <v>-14538</v>
      </c>
      <c r="H10" s="195"/>
      <c r="I10" s="193">
        <v>-14610</v>
      </c>
      <c r="J10" s="193"/>
    </row>
    <row r="11" spans="2:10" ht="14.25" customHeight="1" x14ac:dyDescent="0.2">
      <c r="B11" s="194" t="s">
        <v>119</v>
      </c>
      <c r="C11" s="210"/>
      <c r="D11" s="210"/>
      <c r="E11" s="193">
        <v>15</v>
      </c>
      <c r="F11" s="193"/>
      <c r="G11" s="196">
        <v>-28356</v>
      </c>
      <c r="H11" s="193"/>
      <c r="I11" s="196">
        <v>-7562</v>
      </c>
      <c r="J11" s="193"/>
    </row>
    <row r="12" spans="2:10" ht="14.25" customHeight="1" x14ac:dyDescent="0.2">
      <c r="B12" s="194" t="s">
        <v>37</v>
      </c>
      <c r="C12" s="210"/>
      <c r="D12" s="210"/>
      <c r="E12" s="210"/>
      <c r="F12" s="210"/>
      <c r="G12" s="210"/>
      <c r="H12" s="210"/>
      <c r="I12" s="210"/>
      <c r="J12" s="210"/>
    </row>
    <row r="13" spans="2:10" ht="14.25" customHeight="1" x14ac:dyDescent="0.25">
      <c r="B13" s="192" t="s">
        <v>104</v>
      </c>
      <c r="C13" s="211"/>
      <c r="D13" s="211"/>
      <c r="E13" s="211"/>
      <c r="F13" s="211"/>
      <c r="G13" s="197">
        <f>G8+G10+G11</f>
        <v>45991</v>
      </c>
      <c r="H13" s="211"/>
      <c r="I13" s="197">
        <f>I8+I10+I11</f>
        <v>55885</v>
      </c>
      <c r="J13" s="211"/>
    </row>
    <row r="14" spans="2:10" ht="14.25" customHeight="1" x14ac:dyDescent="0.25">
      <c r="B14" s="194"/>
      <c r="C14" s="209"/>
      <c r="D14" s="209"/>
      <c r="E14" s="209"/>
      <c r="F14" s="209"/>
      <c r="G14" s="209"/>
      <c r="H14" s="209"/>
      <c r="I14" s="209"/>
      <c r="J14" s="209"/>
    </row>
    <row r="15" spans="2:10" ht="14.25" customHeight="1" x14ac:dyDescent="0.25">
      <c r="B15" s="192" t="s">
        <v>120</v>
      </c>
      <c r="C15" s="211"/>
      <c r="D15" s="211"/>
      <c r="E15" s="211"/>
      <c r="F15" s="211"/>
      <c r="G15" s="211"/>
      <c r="H15" s="211"/>
      <c r="I15" s="211"/>
      <c r="J15" s="211"/>
    </row>
    <row r="16" spans="2:10" ht="14.25" customHeight="1" x14ac:dyDescent="0.2">
      <c r="C16" s="194" t="s">
        <v>121</v>
      </c>
      <c r="D16" s="194"/>
      <c r="E16" s="194"/>
      <c r="F16" s="194"/>
      <c r="G16" s="197">
        <v>-5118</v>
      </c>
      <c r="H16" s="194"/>
      <c r="I16" s="197">
        <v>-4507</v>
      </c>
      <c r="J16" s="194"/>
    </row>
    <row r="17" spans="2:15" ht="14.25" customHeight="1" x14ac:dyDescent="0.2">
      <c r="C17" s="194" t="s">
        <v>122</v>
      </c>
      <c r="D17" s="194"/>
      <c r="E17" s="194"/>
      <c r="F17" s="194"/>
      <c r="G17" s="197">
        <v>-503</v>
      </c>
      <c r="H17" s="194"/>
      <c r="I17" s="197">
        <v>-596</v>
      </c>
      <c r="J17" s="194"/>
      <c r="M17" s="198"/>
      <c r="N17" s="198"/>
      <c r="O17" s="198"/>
    </row>
    <row r="18" spans="2:15" ht="14.25" customHeight="1" x14ac:dyDescent="0.2">
      <c r="C18" s="194" t="s">
        <v>123</v>
      </c>
      <c r="D18" s="194"/>
      <c r="E18" s="194"/>
      <c r="F18" s="194"/>
      <c r="G18" s="199">
        <v>4764</v>
      </c>
      <c r="H18" s="194"/>
      <c r="I18" s="199">
        <v>-611</v>
      </c>
      <c r="J18" s="194"/>
      <c r="M18" s="198"/>
      <c r="N18" s="198"/>
      <c r="O18" s="198"/>
    </row>
    <row r="19" spans="2:15" ht="14.25" customHeight="1" x14ac:dyDescent="0.2">
      <c r="C19" s="194"/>
      <c r="D19" s="194"/>
      <c r="E19" s="194"/>
      <c r="F19" s="194"/>
      <c r="G19" s="194"/>
      <c r="H19" s="194"/>
      <c r="I19" s="194"/>
      <c r="J19" s="194"/>
      <c r="M19" s="198"/>
      <c r="N19" s="198"/>
      <c r="O19" s="198"/>
    </row>
    <row r="20" spans="2:15" ht="14.25" customHeight="1" x14ac:dyDescent="0.25">
      <c r="B20" s="192" t="s">
        <v>124</v>
      </c>
      <c r="C20" s="211"/>
      <c r="D20" s="211"/>
      <c r="E20" s="211"/>
      <c r="F20" s="211"/>
      <c r="G20" s="211"/>
      <c r="H20" s="211"/>
      <c r="I20" s="211"/>
      <c r="J20" s="211"/>
      <c r="M20" s="198"/>
      <c r="N20" s="198"/>
      <c r="O20" s="198"/>
    </row>
    <row r="21" spans="2:15" ht="14.25" customHeight="1" x14ac:dyDescent="0.25">
      <c r="B21" s="192" t="s">
        <v>125</v>
      </c>
      <c r="C21" s="209"/>
      <c r="D21" s="209"/>
      <c r="E21" s="209"/>
      <c r="F21" s="209"/>
      <c r="G21" s="197">
        <f>G13+G16+G17+G18</f>
        <v>45134</v>
      </c>
      <c r="H21" s="209"/>
      <c r="I21" s="197">
        <f>I13+I16+I17+I18</f>
        <v>50171</v>
      </c>
      <c r="J21" s="209"/>
      <c r="M21" s="198"/>
      <c r="N21" s="198"/>
      <c r="O21" s="198"/>
    </row>
    <row r="22" spans="2:15" ht="14.25" customHeight="1" x14ac:dyDescent="0.25">
      <c r="B22" s="192"/>
      <c r="C22" s="209"/>
      <c r="D22" s="209"/>
      <c r="E22" s="209"/>
      <c r="F22" s="209"/>
      <c r="G22" s="209"/>
      <c r="H22" s="209"/>
      <c r="I22" s="209"/>
      <c r="J22" s="209"/>
      <c r="M22" s="198"/>
      <c r="N22" s="198"/>
      <c r="O22" s="198"/>
    </row>
    <row r="23" spans="2:15" ht="14.25" customHeight="1" x14ac:dyDescent="0.2">
      <c r="C23" s="194" t="s">
        <v>126</v>
      </c>
      <c r="D23" s="194"/>
      <c r="E23" s="193">
        <v>16</v>
      </c>
      <c r="F23" s="193"/>
      <c r="G23" s="193">
        <v>15514</v>
      </c>
      <c r="H23" s="193"/>
      <c r="I23" s="193">
        <v>19784</v>
      </c>
      <c r="J23" s="193"/>
      <c r="M23" s="198"/>
      <c r="N23" s="198"/>
      <c r="O23" s="198"/>
    </row>
    <row r="24" spans="2:15" ht="14.25" customHeight="1" x14ac:dyDescent="0.2">
      <c r="C24" s="194" t="s">
        <v>127</v>
      </c>
      <c r="D24" s="194"/>
      <c r="E24" s="193">
        <v>16</v>
      </c>
      <c r="F24" s="193"/>
      <c r="G24" s="196">
        <v>-3947</v>
      </c>
      <c r="H24" s="193"/>
      <c r="I24" s="196">
        <v>-20052</v>
      </c>
      <c r="J24" s="193"/>
      <c r="M24" s="198"/>
      <c r="N24" s="198"/>
      <c r="O24" s="198"/>
    </row>
    <row r="25" spans="2:15" ht="14.25" customHeight="1" x14ac:dyDescent="0.2">
      <c r="B25" s="194"/>
      <c r="C25" s="210"/>
      <c r="D25" s="210"/>
      <c r="E25" s="210"/>
      <c r="F25" s="210"/>
      <c r="G25" s="210"/>
      <c r="H25" s="210"/>
      <c r="I25" s="210"/>
      <c r="J25" s="210"/>
      <c r="M25" s="198"/>
      <c r="N25" s="198"/>
      <c r="O25" s="198"/>
    </row>
    <row r="26" spans="2:15" ht="14.25" customHeight="1" x14ac:dyDescent="0.2">
      <c r="B26" s="194" t="s">
        <v>128</v>
      </c>
      <c r="C26" s="210"/>
      <c r="D26" s="210"/>
      <c r="E26" s="210"/>
      <c r="F26" s="210"/>
      <c r="G26" s="199">
        <f>G23+G24</f>
        <v>11567</v>
      </c>
      <c r="H26" s="210"/>
      <c r="I26" s="199">
        <f>I23+I24</f>
        <v>-268</v>
      </c>
      <c r="J26" s="210"/>
      <c r="M26" s="198"/>
      <c r="N26" s="198"/>
      <c r="O26" s="198"/>
    </row>
    <row r="27" spans="2:15" ht="14.25" customHeight="1" x14ac:dyDescent="0.2">
      <c r="B27" s="194"/>
      <c r="C27" s="210"/>
      <c r="D27" s="210"/>
      <c r="E27" s="210"/>
      <c r="F27" s="210"/>
      <c r="G27" s="210"/>
      <c r="H27" s="210"/>
      <c r="I27" s="210"/>
      <c r="J27" s="210"/>
      <c r="M27" s="198"/>
      <c r="N27" s="198"/>
      <c r="O27" s="198"/>
    </row>
    <row r="28" spans="2:15" s="201" customFormat="1" ht="14.25" customHeight="1" x14ac:dyDescent="0.25">
      <c r="B28" s="192" t="s">
        <v>105</v>
      </c>
      <c r="C28" s="210"/>
      <c r="D28" s="210"/>
      <c r="E28" s="210"/>
      <c r="F28" s="210"/>
      <c r="G28" s="200">
        <f>G21+G26</f>
        <v>56701</v>
      </c>
      <c r="H28" s="210"/>
      <c r="I28" s="200">
        <f>I21+I26</f>
        <v>49903</v>
      </c>
      <c r="J28" s="210"/>
      <c r="M28" s="202"/>
      <c r="N28" s="202"/>
      <c r="O28" s="202"/>
    </row>
    <row r="29" spans="2:15" s="201" customFormat="1" ht="14.25" customHeight="1" x14ac:dyDescent="0.25">
      <c r="B29" s="194"/>
      <c r="C29" s="211"/>
      <c r="D29" s="211"/>
      <c r="E29" s="211"/>
      <c r="F29" s="211"/>
      <c r="G29" s="211"/>
      <c r="H29" s="211"/>
      <c r="I29" s="211"/>
      <c r="J29" s="211"/>
      <c r="M29" s="202"/>
      <c r="N29" s="202"/>
      <c r="O29" s="202"/>
    </row>
    <row r="30" spans="2:15" ht="14.25" customHeight="1" x14ac:dyDescent="0.2">
      <c r="B30" s="194" t="s">
        <v>129</v>
      </c>
      <c r="C30" s="210"/>
      <c r="D30" s="210"/>
      <c r="E30" s="193">
        <v>17</v>
      </c>
      <c r="F30" s="193"/>
      <c r="G30" s="193">
        <v>-2941</v>
      </c>
      <c r="H30" s="193"/>
      <c r="I30" s="193">
        <v>-3133</v>
      </c>
      <c r="J30" s="193"/>
      <c r="M30" s="198"/>
      <c r="N30" s="198"/>
      <c r="O30" s="198"/>
    </row>
    <row r="31" spans="2:15" ht="14.25" customHeight="1" x14ac:dyDescent="0.2">
      <c r="B31" s="194" t="s">
        <v>130</v>
      </c>
      <c r="C31" s="210"/>
      <c r="D31" s="210"/>
      <c r="E31" s="193">
        <v>17</v>
      </c>
      <c r="F31" s="193"/>
      <c r="G31" s="193">
        <v>-8146</v>
      </c>
      <c r="H31" s="193"/>
      <c r="I31" s="193">
        <v>-8680</v>
      </c>
      <c r="J31" s="193"/>
      <c r="M31" s="198"/>
      <c r="N31" s="198"/>
      <c r="O31" s="198"/>
    </row>
    <row r="32" spans="2:15" ht="14.25" customHeight="1" x14ac:dyDescent="0.2">
      <c r="B32" s="194" t="s">
        <v>131</v>
      </c>
      <c r="C32" s="210"/>
      <c r="D32" s="210"/>
      <c r="E32" s="193"/>
      <c r="F32" s="193"/>
      <c r="G32" s="193">
        <v>-213</v>
      </c>
      <c r="H32" s="193"/>
      <c r="I32" s="193">
        <v>-213</v>
      </c>
      <c r="J32" s="193"/>
      <c r="M32" s="198"/>
      <c r="N32" s="198"/>
      <c r="O32" s="198"/>
    </row>
    <row r="33" spans="2:15" ht="14.25" customHeight="1" x14ac:dyDescent="0.2">
      <c r="B33" s="194" t="s">
        <v>132</v>
      </c>
      <c r="C33" s="210"/>
      <c r="D33" s="210"/>
      <c r="E33" s="193"/>
      <c r="F33" s="193"/>
      <c r="G33" s="196">
        <v>-593</v>
      </c>
      <c r="H33" s="193"/>
      <c r="I33" s="196">
        <v>-593</v>
      </c>
      <c r="J33" s="193"/>
      <c r="M33" s="198"/>
      <c r="N33" s="198"/>
      <c r="O33" s="198"/>
    </row>
    <row r="34" spans="2:15" ht="14.25" customHeight="1" x14ac:dyDescent="0.2">
      <c r="B34" s="194"/>
      <c r="C34" s="210"/>
      <c r="D34" s="210"/>
      <c r="E34" s="210"/>
      <c r="F34" s="210"/>
      <c r="G34" s="210"/>
      <c r="H34" s="210"/>
      <c r="I34" s="210"/>
      <c r="J34" s="210"/>
      <c r="M34" s="198"/>
      <c r="N34" s="198"/>
      <c r="O34" s="198"/>
    </row>
    <row r="35" spans="2:15" ht="14.25" customHeight="1" thickBot="1" x14ac:dyDescent="0.3">
      <c r="B35" s="192" t="s">
        <v>133</v>
      </c>
      <c r="C35" s="211"/>
      <c r="D35" s="211"/>
      <c r="E35" s="211"/>
      <c r="F35" s="211"/>
      <c r="G35" s="203">
        <f>G28+G30+G31+G32+G33</f>
        <v>44808</v>
      </c>
      <c r="H35" s="211"/>
      <c r="I35" s="203">
        <f>I28+I30+I31+I32+I33</f>
        <v>37284</v>
      </c>
      <c r="J35" s="211"/>
      <c r="M35" s="198"/>
      <c r="N35" s="198"/>
      <c r="O35" s="198"/>
    </row>
    <row r="36" spans="2:15" ht="14.25" customHeight="1" thickTop="1" x14ac:dyDescent="0.2">
      <c r="B36" s="210"/>
      <c r="C36" s="210"/>
      <c r="D36" s="210"/>
      <c r="E36" s="210"/>
      <c r="F36" s="210"/>
      <c r="G36" s="210"/>
      <c r="H36" s="210"/>
      <c r="I36" s="210"/>
      <c r="J36" s="210"/>
      <c r="M36" s="198"/>
      <c r="N36" s="198"/>
      <c r="O36" s="198"/>
    </row>
    <row r="37" spans="2:15" ht="14.25" customHeight="1" x14ac:dyDescent="0.25">
      <c r="B37" s="209"/>
      <c r="C37" s="209"/>
      <c r="D37" s="209"/>
      <c r="E37" s="209"/>
      <c r="F37" s="209"/>
      <c r="G37" s="209"/>
      <c r="H37" s="209"/>
      <c r="I37" s="209"/>
      <c r="J37" s="209"/>
      <c r="M37" s="198"/>
      <c r="N37" s="198"/>
      <c r="O37" s="198"/>
    </row>
    <row r="38" spans="2:15" ht="14.25" customHeight="1" x14ac:dyDescent="0.2">
      <c r="B38" s="204" t="s">
        <v>134</v>
      </c>
      <c r="C38" s="204"/>
      <c r="D38" s="204"/>
      <c r="E38" s="204"/>
      <c r="F38" s="204"/>
      <c r="G38" s="204"/>
      <c r="H38" s="204"/>
      <c r="I38" s="204"/>
      <c r="J38" s="204"/>
      <c r="M38" s="198"/>
      <c r="N38" s="198"/>
      <c r="O38" s="198"/>
    </row>
    <row r="39" spans="2:15" ht="14.25" customHeight="1" x14ac:dyDescent="0.2">
      <c r="B39" s="210"/>
      <c r="C39" s="210"/>
      <c r="D39" s="210"/>
      <c r="E39" s="210"/>
      <c r="F39" s="210"/>
      <c r="G39" s="210"/>
      <c r="H39" s="210"/>
      <c r="I39" s="210"/>
      <c r="J39" s="210"/>
    </row>
    <row r="40" spans="2:15" ht="14.25" customHeight="1" x14ac:dyDescent="0.2">
      <c r="B40" s="210"/>
      <c r="C40" s="210"/>
      <c r="D40" s="210"/>
      <c r="E40" s="210"/>
      <c r="F40" s="210"/>
      <c r="G40" s="210"/>
      <c r="H40" s="210"/>
      <c r="I40" s="210"/>
      <c r="J40" s="210"/>
    </row>
    <row r="41" spans="2:15" ht="14.25" customHeight="1" x14ac:dyDescent="0.2">
      <c r="B41" s="210"/>
      <c r="C41" s="210"/>
      <c r="D41" s="210"/>
      <c r="E41" s="210"/>
      <c r="F41" s="210"/>
      <c r="G41" s="212"/>
      <c r="H41" s="210"/>
      <c r="I41" s="210"/>
      <c r="J41" s="210"/>
    </row>
    <row r="42" spans="2:15" ht="14.25" customHeight="1" x14ac:dyDescent="0.2">
      <c r="B42" s="210"/>
      <c r="C42" s="210"/>
      <c r="D42" s="210"/>
      <c r="E42" s="210"/>
      <c r="F42" s="210"/>
      <c r="G42" s="212"/>
      <c r="H42" s="210"/>
      <c r="I42" s="210"/>
      <c r="J42" s="210"/>
    </row>
    <row r="43" spans="2:15" ht="14.25" customHeight="1" x14ac:dyDescent="0.2">
      <c r="B43" s="210"/>
      <c r="C43" s="210"/>
      <c r="D43" s="210"/>
      <c r="E43" s="210"/>
      <c r="F43" s="210"/>
      <c r="G43" s="210"/>
      <c r="H43" s="210"/>
      <c r="I43" s="210"/>
      <c r="J43" s="210"/>
    </row>
    <row r="44" spans="2:15" ht="14.25" customHeight="1" x14ac:dyDescent="0.2">
      <c r="B44" s="210"/>
      <c r="C44" s="210"/>
      <c r="D44" s="210"/>
      <c r="E44" s="210"/>
      <c r="F44" s="210"/>
      <c r="G44" s="210"/>
      <c r="H44" s="210"/>
      <c r="I44" s="210"/>
      <c r="J44" s="210"/>
    </row>
    <row r="45" spans="2:15" ht="14.25" customHeight="1" x14ac:dyDescent="0.2">
      <c r="B45" s="210"/>
      <c r="C45" s="210"/>
      <c r="D45" s="210"/>
      <c r="E45" s="210"/>
      <c r="F45" s="210"/>
      <c r="G45" s="210"/>
      <c r="H45" s="210"/>
      <c r="I45" s="210"/>
      <c r="J45" s="210"/>
    </row>
    <row r="46" spans="2:15" ht="14.25" customHeight="1" x14ac:dyDescent="0.25">
      <c r="B46" s="211"/>
      <c r="C46" s="211"/>
      <c r="D46" s="211"/>
      <c r="E46" s="211"/>
      <c r="F46" s="211"/>
      <c r="G46" s="211"/>
      <c r="H46" s="211"/>
      <c r="I46" s="211"/>
      <c r="J46" s="211"/>
    </row>
    <row r="47" spans="2:15" ht="14.25" customHeight="1" x14ac:dyDescent="0.2">
      <c r="B47" s="210"/>
      <c r="C47" s="210"/>
      <c r="D47" s="210"/>
      <c r="E47" s="210"/>
      <c r="F47" s="210"/>
      <c r="G47" s="210"/>
      <c r="H47" s="210"/>
      <c r="I47" s="210"/>
      <c r="J47" s="210"/>
    </row>
    <row r="48" spans="2:15" ht="14.25" customHeight="1" x14ac:dyDescent="0.2">
      <c r="B48" s="210"/>
      <c r="C48" s="210"/>
      <c r="D48" s="210"/>
      <c r="E48" s="210"/>
      <c r="F48" s="210"/>
      <c r="G48" s="210"/>
      <c r="H48" s="210"/>
      <c r="I48" s="210"/>
      <c r="J48" s="210"/>
    </row>
    <row r="49" spans="2:10" ht="14.25" customHeight="1" x14ac:dyDescent="0.2">
      <c r="B49" s="210"/>
      <c r="C49" s="210"/>
      <c r="D49" s="210"/>
      <c r="E49" s="210"/>
      <c r="F49" s="210"/>
      <c r="G49" s="210"/>
      <c r="H49" s="210"/>
      <c r="I49" s="210"/>
      <c r="J49" s="210"/>
    </row>
    <row r="50" spans="2:10" ht="14.25" customHeight="1" x14ac:dyDescent="0.25">
      <c r="B50" s="211"/>
      <c r="C50" s="211"/>
      <c r="D50" s="211"/>
      <c r="E50" s="211"/>
      <c r="F50" s="211"/>
      <c r="G50" s="211"/>
      <c r="H50" s="211"/>
      <c r="I50" s="211"/>
      <c r="J50" s="211"/>
    </row>
    <row r="51" spans="2:10" ht="14.25" customHeight="1" x14ac:dyDescent="0.2">
      <c r="B51" s="210"/>
      <c r="C51" s="210"/>
      <c r="D51" s="210"/>
      <c r="E51" s="210"/>
      <c r="F51" s="210"/>
      <c r="G51" s="210"/>
      <c r="H51" s="210"/>
      <c r="I51" s="210"/>
      <c r="J51" s="210"/>
    </row>
    <row r="52" spans="2:10" ht="14.25" customHeight="1" x14ac:dyDescent="0.2">
      <c r="B52" s="210"/>
      <c r="C52" s="210"/>
      <c r="D52" s="210"/>
      <c r="E52" s="210"/>
      <c r="F52" s="210"/>
      <c r="G52" s="210"/>
      <c r="H52" s="210"/>
      <c r="I52" s="210"/>
      <c r="J52" s="210"/>
    </row>
    <row r="53" spans="2:10" ht="14.25" customHeight="1" x14ac:dyDescent="0.2">
      <c r="B53" s="210"/>
      <c r="C53" s="210"/>
      <c r="D53" s="210"/>
      <c r="E53" s="210"/>
      <c r="F53" s="210"/>
      <c r="G53" s="210"/>
      <c r="H53" s="210"/>
      <c r="I53" s="210"/>
      <c r="J53" s="210"/>
    </row>
    <row r="54" spans="2:10" ht="14.25" customHeight="1" x14ac:dyDescent="0.2">
      <c r="B54" s="210"/>
      <c r="C54" s="210"/>
      <c r="D54" s="210"/>
      <c r="E54" s="210"/>
      <c r="F54" s="210"/>
      <c r="G54" s="210"/>
      <c r="H54" s="210"/>
      <c r="I54" s="210"/>
      <c r="J54" s="210"/>
    </row>
    <row r="55" spans="2:10" ht="14.25" customHeight="1" x14ac:dyDescent="0.2">
      <c r="B55" s="213"/>
      <c r="C55" s="213"/>
      <c r="D55" s="213"/>
      <c r="E55" s="213"/>
      <c r="F55" s="213"/>
      <c r="G55" s="213"/>
      <c r="H55" s="213"/>
      <c r="I55" s="213"/>
      <c r="J55" s="213"/>
    </row>
    <row r="56" spans="2:10" ht="14.25" customHeight="1" x14ac:dyDescent="0.2">
      <c r="B56" s="213"/>
      <c r="C56" s="213"/>
      <c r="D56" s="213"/>
      <c r="E56" s="213"/>
      <c r="F56" s="213"/>
      <c r="G56" s="213"/>
      <c r="H56" s="213"/>
      <c r="I56" s="213"/>
      <c r="J56" s="213"/>
    </row>
    <row r="57" spans="2:10" ht="14.25" customHeight="1" x14ac:dyDescent="0.2">
      <c r="B57" s="213"/>
      <c r="C57" s="213"/>
      <c r="D57" s="213"/>
      <c r="E57" s="213"/>
      <c r="F57" s="213"/>
      <c r="G57" s="213"/>
      <c r="H57" s="213"/>
      <c r="I57" s="213"/>
      <c r="J57" s="213"/>
    </row>
    <row r="58" spans="2:10" ht="14.25" customHeight="1" x14ac:dyDescent="0.2">
      <c r="B58" s="213"/>
      <c r="C58" s="213"/>
      <c r="D58" s="213"/>
      <c r="E58" s="213"/>
      <c r="F58" s="213"/>
      <c r="G58" s="213"/>
      <c r="H58" s="213"/>
      <c r="I58" s="213"/>
      <c r="J58" s="213"/>
    </row>
    <row r="59" spans="2:10" ht="14.25" customHeight="1" x14ac:dyDescent="0.25">
      <c r="B59" s="214"/>
      <c r="C59" s="214"/>
      <c r="D59" s="214"/>
      <c r="E59" s="214"/>
      <c r="F59" s="214"/>
      <c r="G59" s="214"/>
      <c r="H59" s="214"/>
      <c r="I59" s="214"/>
      <c r="J59" s="214"/>
    </row>
    <row r="60" spans="2:10" ht="14.25" customHeight="1" x14ac:dyDescent="0.25">
      <c r="B60" s="214"/>
      <c r="C60" s="214"/>
      <c r="D60" s="214"/>
      <c r="E60" s="214"/>
      <c r="F60" s="214"/>
      <c r="G60" s="214"/>
      <c r="H60" s="214"/>
      <c r="I60" s="214"/>
      <c r="J60" s="214"/>
    </row>
    <row r="61" spans="2:10" ht="14.25" customHeight="1" x14ac:dyDescent="0.2">
      <c r="B61" s="205"/>
      <c r="C61" s="205"/>
      <c r="D61" s="205"/>
      <c r="E61" s="205"/>
      <c r="F61" s="205"/>
      <c r="G61" s="205"/>
      <c r="H61" s="205"/>
      <c r="I61" s="205"/>
      <c r="J61" s="205"/>
    </row>
    <row r="62" spans="2:10" ht="14.25" customHeight="1" x14ac:dyDescent="0.25">
      <c r="B62" s="214"/>
      <c r="C62" s="214"/>
      <c r="D62" s="214"/>
      <c r="E62" s="214"/>
      <c r="F62" s="214"/>
      <c r="G62" s="214"/>
      <c r="H62" s="214"/>
      <c r="I62" s="214"/>
      <c r="J62" s="214"/>
    </row>
    <row r="63" spans="2:10" ht="14.25" customHeight="1" x14ac:dyDescent="0.2">
      <c r="B63" s="213"/>
      <c r="C63" s="213"/>
      <c r="D63" s="213"/>
      <c r="E63" s="213"/>
      <c r="F63" s="213"/>
      <c r="G63" s="213"/>
      <c r="H63" s="213"/>
      <c r="I63" s="213"/>
      <c r="J63" s="213"/>
    </row>
    <row r="64" spans="2:10" ht="14.25" customHeight="1" x14ac:dyDescent="0.2">
      <c r="B64" s="213"/>
      <c r="C64" s="213"/>
      <c r="D64" s="213"/>
      <c r="E64" s="213"/>
      <c r="F64" s="213"/>
      <c r="G64" s="213"/>
      <c r="H64" s="213"/>
      <c r="I64" s="213"/>
      <c r="J64" s="213"/>
    </row>
    <row r="65" spans="2:10" ht="14.25" customHeight="1" x14ac:dyDescent="0.2">
      <c r="B65" s="213"/>
      <c r="C65" s="213"/>
      <c r="D65" s="213"/>
      <c r="E65" s="213"/>
      <c r="F65" s="213"/>
      <c r="G65" s="213"/>
      <c r="H65" s="213"/>
      <c r="I65" s="213"/>
      <c r="J65" s="213"/>
    </row>
    <row r="66" spans="2:10" ht="14.25" customHeight="1" x14ac:dyDescent="0.2">
      <c r="B66" s="213"/>
      <c r="C66" s="213"/>
      <c r="D66" s="213"/>
      <c r="E66" s="213"/>
      <c r="F66" s="213"/>
      <c r="G66" s="213"/>
      <c r="H66" s="213"/>
      <c r="I66" s="213"/>
      <c r="J66" s="213"/>
    </row>
    <row r="67" spans="2:10" ht="14.25" customHeight="1" x14ac:dyDescent="0.25">
      <c r="B67" s="214"/>
      <c r="C67" s="214"/>
      <c r="D67" s="214"/>
      <c r="E67" s="214"/>
      <c r="F67" s="214"/>
      <c r="G67" s="214"/>
      <c r="H67" s="214"/>
      <c r="I67" s="214"/>
      <c r="J67" s="214"/>
    </row>
    <row r="68" spans="2:10" ht="14.25" customHeight="1" x14ac:dyDescent="0.25">
      <c r="B68" s="214"/>
      <c r="C68" s="214"/>
      <c r="D68" s="214"/>
      <c r="E68" s="214"/>
      <c r="F68" s="214"/>
      <c r="G68" s="214"/>
      <c r="H68" s="214"/>
      <c r="I68" s="214"/>
      <c r="J68" s="214"/>
    </row>
    <row r="69" spans="2:10" ht="14.25" customHeight="1" x14ac:dyDescent="0.2">
      <c r="B69" s="213"/>
      <c r="C69" s="213"/>
      <c r="D69" s="213"/>
      <c r="E69" s="213"/>
      <c r="F69" s="213"/>
      <c r="G69" s="213"/>
      <c r="H69" s="213"/>
      <c r="I69" s="213"/>
      <c r="J69" s="213"/>
    </row>
    <row r="70" spans="2:10" ht="14.25" customHeight="1" x14ac:dyDescent="0.2">
      <c r="B70" s="213"/>
      <c r="C70" s="213"/>
      <c r="D70" s="213"/>
      <c r="E70" s="213"/>
      <c r="F70" s="213"/>
      <c r="G70" s="213"/>
      <c r="H70" s="213"/>
      <c r="I70" s="213"/>
      <c r="J70" s="213"/>
    </row>
    <row r="71" spans="2:10" ht="14.25" customHeight="1" x14ac:dyDescent="0.2">
      <c r="B71" s="213"/>
      <c r="C71" s="213"/>
      <c r="D71" s="213"/>
      <c r="E71" s="213"/>
      <c r="F71" s="213"/>
      <c r="G71" s="213"/>
      <c r="H71" s="213"/>
      <c r="I71" s="213"/>
      <c r="J71" s="213"/>
    </row>
    <row r="72" spans="2:10" ht="14.25" customHeight="1" x14ac:dyDescent="0.2">
      <c r="B72" s="213"/>
      <c r="C72" s="213"/>
      <c r="D72" s="213"/>
      <c r="E72" s="213"/>
      <c r="F72" s="213"/>
      <c r="G72" s="213"/>
      <c r="H72" s="213"/>
      <c r="I72" s="213"/>
      <c r="J72" s="213"/>
    </row>
    <row r="73" spans="2:10" ht="14.25" customHeight="1" x14ac:dyDescent="0.25">
      <c r="B73" s="214"/>
      <c r="C73" s="214"/>
      <c r="D73" s="214"/>
      <c r="E73" s="214"/>
      <c r="F73" s="214"/>
      <c r="G73" s="214"/>
      <c r="H73" s="214"/>
      <c r="I73" s="214"/>
      <c r="J73" s="214"/>
    </row>
    <row r="74" spans="2:10" ht="14.25" customHeight="1" x14ac:dyDescent="0.2">
      <c r="B74" s="213"/>
      <c r="C74" s="213"/>
      <c r="D74" s="213"/>
      <c r="E74" s="213"/>
      <c r="F74" s="213"/>
      <c r="G74" s="213"/>
      <c r="H74" s="213"/>
      <c r="I74" s="213"/>
      <c r="J74" s="213"/>
    </row>
    <row r="75" spans="2:10" ht="14.25" customHeight="1" x14ac:dyDescent="0.2">
      <c r="B75" s="213"/>
      <c r="C75" s="213"/>
      <c r="D75" s="213"/>
      <c r="E75" s="213"/>
      <c r="F75" s="213"/>
      <c r="G75" s="213"/>
      <c r="H75" s="213"/>
      <c r="I75" s="213"/>
      <c r="J75" s="213"/>
    </row>
    <row r="76" spans="2:10" ht="14.25" customHeight="1" x14ac:dyDescent="0.2">
      <c r="B76" s="213"/>
      <c r="C76" s="213"/>
      <c r="D76" s="213"/>
      <c r="E76" s="213"/>
      <c r="F76" s="213"/>
      <c r="G76" s="213"/>
      <c r="H76" s="213"/>
      <c r="I76" s="213"/>
      <c r="J76" s="213"/>
    </row>
    <row r="77" spans="2:10" ht="14.25" customHeight="1" x14ac:dyDescent="0.25">
      <c r="B77" s="214"/>
      <c r="C77" s="214"/>
      <c r="D77" s="214"/>
      <c r="E77" s="214"/>
      <c r="F77" s="214"/>
      <c r="G77" s="214"/>
      <c r="H77" s="214"/>
      <c r="I77" s="214"/>
      <c r="J77" s="214"/>
    </row>
    <row r="78" spans="2:10" ht="14.25" customHeight="1" x14ac:dyDescent="0.25">
      <c r="B78" s="214"/>
      <c r="C78" s="214"/>
      <c r="D78" s="214"/>
      <c r="E78" s="214"/>
      <c r="F78" s="214"/>
      <c r="G78" s="214"/>
      <c r="H78" s="214"/>
      <c r="I78" s="214"/>
      <c r="J78" s="214"/>
    </row>
    <row r="79" spans="2:10" ht="14.25" customHeight="1" x14ac:dyDescent="0.25">
      <c r="B79" s="214"/>
      <c r="C79" s="214"/>
      <c r="D79" s="214"/>
      <c r="E79" s="214"/>
      <c r="F79" s="214"/>
      <c r="G79" s="214"/>
      <c r="H79" s="214"/>
      <c r="I79" s="214"/>
      <c r="J79" s="214"/>
    </row>
    <row r="80" spans="2:10" ht="14.25" customHeight="1" x14ac:dyDescent="0.2">
      <c r="B80" s="213"/>
      <c r="C80" s="213"/>
      <c r="D80" s="213"/>
      <c r="E80" s="213"/>
      <c r="F80" s="213"/>
      <c r="G80" s="213"/>
      <c r="H80" s="213"/>
      <c r="I80" s="213"/>
      <c r="J80" s="213"/>
    </row>
    <row r="81" spans="2:10" ht="14.25" customHeight="1" x14ac:dyDescent="0.2">
      <c r="B81" s="213"/>
      <c r="C81" s="213"/>
      <c r="D81" s="213"/>
      <c r="E81" s="213"/>
      <c r="F81" s="213"/>
      <c r="G81" s="213"/>
      <c r="H81" s="213"/>
      <c r="I81" s="213"/>
      <c r="J81" s="213"/>
    </row>
    <row r="82" spans="2:10" ht="14.25" customHeight="1" x14ac:dyDescent="0.2">
      <c r="B82" s="213"/>
      <c r="C82" s="213"/>
      <c r="D82" s="213"/>
      <c r="E82" s="213"/>
      <c r="F82" s="213"/>
      <c r="G82" s="213"/>
      <c r="H82" s="213"/>
      <c r="I82" s="213"/>
      <c r="J82" s="213"/>
    </row>
    <row r="83" spans="2:10" x14ac:dyDescent="0.2">
      <c r="B83" s="215"/>
      <c r="C83" s="215"/>
      <c r="D83" s="215"/>
      <c r="E83" s="215"/>
      <c r="F83" s="215"/>
      <c r="G83" s="215"/>
      <c r="H83" s="215"/>
      <c r="I83" s="215"/>
      <c r="J83" s="215"/>
    </row>
    <row r="84" spans="2:10" x14ac:dyDescent="0.2">
      <c r="B84" s="205"/>
      <c r="C84" s="205"/>
      <c r="D84" s="205"/>
      <c r="E84" s="205"/>
      <c r="F84" s="205"/>
      <c r="G84" s="205"/>
      <c r="H84" s="205"/>
      <c r="I84" s="205"/>
      <c r="J84" s="205"/>
    </row>
    <row r="85" spans="2:10" x14ac:dyDescent="0.2">
      <c r="B85" s="205"/>
      <c r="C85" s="205"/>
      <c r="D85" s="205"/>
      <c r="E85" s="205"/>
      <c r="F85" s="205"/>
      <c r="G85" s="205"/>
      <c r="H85" s="205"/>
      <c r="I85" s="205"/>
      <c r="J85" s="205"/>
    </row>
    <row r="86" spans="2:10" ht="15" x14ac:dyDescent="0.25">
      <c r="B86" s="216"/>
      <c r="C86" s="216"/>
      <c r="D86" s="216"/>
      <c r="E86" s="216"/>
      <c r="F86" s="216"/>
      <c r="G86" s="216"/>
      <c r="H86" s="216"/>
      <c r="I86" s="216"/>
      <c r="J86" s="216"/>
    </row>
    <row r="88" spans="2:10" ht="15" x14ac:dyDescent="0.25">
      <c r="B88" s="206"/>
      <c r="C88" s="206"/>
      <c r="D88" s="206"/>
      <c r="E88" s="206"/>
      <c r="F88" s="206"/>
      <c r="G88" s="206"/>
      <c r="H88" s="206"/>
      <c r="I88" s="206"/>
      <c r="J88" s="206"/>
    </row>
  </sheetData>
  <mergeCells count="1">
    <mergeCell ref="B38:J38"/>
  </mergeCells>
  <pageMargins left="1.1417322834645669" right="1.1417322834645669" top="0.6692913385826772" bottom="0.51181102362204722" header="0.51181102362204722" footer="0.51181102362204722"/>
  <pageSetup paperSize="9" scale="87" firstPageNumber="8" orientation="portrait" useFirstPageNumber="1" r:id="rId1"/>
  <headerFooter scaleWithDoc="0" alignWithMargins="0">
    <oddFooter>&amp;C&amp;"Times New Roman,Normal"&amp;P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showGridLines="0" workbookViewId="0">
      <selection activeCell="B8" sqref="B8"/>
    </sheetView>
  </sheetViews>
  <sheetFormatPr defaultRowHeight="15" x14ac:dyDescent="0.25"/>
  <cols>
    <col min="1" max="1" width="3.5703125" customWidth="1"/>
    <col min="2" max="2" width="34.42578125" customWidth="1"/>
    <col min="3" max="3" width="3.5703125" customWidth="1"/>
    <col min="5" max="5" width="3.42578125" customWidth="1"/>
  </cols>
  <sheetData>
    <row r="1" spans="2:12" s="201" customFormat="1" ht="17.25" customHeight="1" x14ac:dyDescent="0.25">
      <c r="B1" s="201" t="s">
        <v>160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2:12" s="201" customFormat="1" ht="17.25" customHeight="1" x14ac:dyDescent="0.25">
      <c r="B2" s="201" t="s">
        <v>161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2:12" s="201" customFormat="1" ht="17.25" customHeight="1" x14ac:dyDescent="0.25">
      <c r="B3" s="201" t="s">
        <v>116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2:12" s="201" customFormat="1" ht="17.25" customHeight="1" x14ac:dyDescent="0.25">
      <c r="B4" s="245" t="s">
        <v>162</v>
      </c>
      <c r="C4" s="187"/>
      <c r="D4" s="243"/>
      <c r="E4" s="243"/>
      <c r="F4" s="244"/>
      <c r="G4" s="244"/>
      <c r="H4" s="244"/>
      <c r="I4" s="244"/>
      <c r="J4" s="244"/>
      <c r="K4" s="244"/>
      <c r="L4" s="244"/>
    </row>
    <row r="5" spans="2:12" s="201" customFormat="1" ht="17.25" customHeight="1" x14ac:dyDescent="0.25">
      <c r="B5" s="245"/>
      <c r="C5" s="187"/>
      <c r="D5" s="243"/>
      <c r="E5" s="243"/>
      <c r="F5" s="244"/>
      <c r="G5" s="244"/>
      <c r="H5" s="244"/>
      <c r="I5" s="244"/>
      <c r="J5" s="244"/>
      <c r="K5" s="244"/>
      <c r="L5" s="244"/>
    </row>
    <row r="6" spans="2:12" s="186" customFormat="1" ht="14.25" customHeight="1" x14ac:dyDescent="0.2">
      <c r="C6" s="187"/>
      <c r="D6" s="188"/>
      <c r="E6" s="188"/>
      <c r="F6" s="189"/>
      <c r="G6" s="189"/>
      <c r="H6" s="189"/>
      <c r="I6" s="189"/>
      <c r="J6" s="189"/>
      <c r="K6" s="189"/>
      <c r="L6" s="189"/>
    </row>
    <row r="7" spans="2:12" x14ac:dyDescent="0.25">
      <c r="D7" s="181">
        <v>2017</v>
      </c>
      <c r="E7" s="181"/>
      <c r="F7" s="181">
        <v>2016</v>
      </c>
      <c r="G7" s="181"/>
    </row>
    <row r="8" spans="2:12" x14ac:dyDescent="0.25">
      <c r="B8" t="s">
        <v>57</v>
      </c>
      <c r="D8" s="173">
        <v>44808</v>
      </c>
      <c r="E8" s="173"/>
      <c r="F8" s="173">
        <v>37284</v>
      </c>
    </row>
    <row r="9" spans="2:12" x14ac:dyDescent="0.25">
      <c r="B9" t="s">
        <v>163</v>
      </c>
      <c r="D9" s="173">
        <v>44808</v>
      </c>
      <c r="E9" s="173"/>
      <c r="F9" s="173">
        <v>37284</v>
      </c>
    </row>
    <row r="10" spans="2:12" x14ac:dyDescent="0.25">
      <c r="D10" s="173"/>
      <c r="E10" s="173"/>
      <c r="F10" s="173"/>
    </row>
    <row r="11" spans="2:12" x14ac:dyDescent="0.25">
      <c r="D11" s="173"/>
      <c r="E11" s="173"/>
      <c r="F11" s="173"/>
    </row>
    <row r="12" spans="2:12" x14ac:dyDescent="0.25">
      <c r="D12" s="173"/>
      <c r="E12" s="173"/>
      <c r="F12" s="173"/>
    </row>
    <row r="13" spans="2:12" x14ac:dyDescent="0.25">
      <c r="D13" s="173"/>
      <c r="E13" s="173"/>
      <c r="F13" s="173"/>
    </row>
    <row r="14" spans="2:12" x14ac:dyDescent="0.25">
      <c r="B14" t="s">
        <v>134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showGridLines="0" topLeftCell="A10" zoomScaleNormal="100" zoomScaleSheetLayoutView="100" workbookViewId="0">
      <selection activeCell="C32" sqref="C32"/>
    </sheetView>
  </sheetViews>
  <sheetFormatPr defaultColWidth="11.42578125" defaultRowHeight="15" x14ac:dyDescent="0.25"/>
  <cols>
    <col min="1" max="1" width="5.7109375" style="220" customWidth="1"/>
    <col min="2" max="2" width="1.85546875" style="220" customWidth="1"/>
    <col min="3" max="3" width="51.7109375" style="220" customWidth="1"/>
    <col min="4" max="4" width="15" style="220" customWidth="1"/>
    <col min="5" max="5" width="2.5703125" style="242" customWidth="1"/>
    <col min="6" max="6" width="9" style="220" bestFit="1" customWidth="1"/>
    <col min="7" max="7" width="2.5703125" style="220" customWidth="1"/>
    <col min="8" max="8" width="14.28515625" style="220" bestFit="1" customWidth="1"/>
    <col min="9" max="9" width="2.140625" style="220" customWidth="1"/>
    <col min="10" max="10" width="13.140625" style="220" customWidth="1"/>
    <col min="11" max="11" width="2.5703125" style="220" customWidth="1"/>
    <col min="12" max="12" width="12" style="220" bestFit="1" customWidth="1"/>
    <col min="13" max="13" width="2.28515625" style="220" customWidth="1"/>
    <col min="14" max="14" width="16.140625" style="220" customWidth="1"/>
    <col min="15" max="15" width="3.28515625" style="220" customWidth="1"/>
    <col min="16" max="16" width="9.85546875" style="220" bestFit="1" customWidth="1"/>
    <col min="17" max="16384" width="11.42578125" style="220"/>
  </cols>
  <sheetData>
    <row r="1" spans="2:16" ht="21" customHeight="1" x14ac:dyDescent="0.25">
      <c r="B1" s="217" t="s">
        <v>135</v>
      </c>
      <c r="C1" s="218"/>
      <c r="D1" s="218"/>
      <c r="E1" s="219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2:16" x14ac:dyDescent="0.25">
      <c r="B2" s="201" t="s">
        <v>136</v>
      </c>
      <c r="C2" s="218"/>
      <c r="D2" s="218"/>
      <c r="E2" s="219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</row>
    <row r="3" spans="2:16" x14ac:dyDescent="0.25">
      <c r="B3" s="184" t="s">
        <v>137</v>
      </c>
      <c r="C3" s="218"/>
      <c r="D3" s="218"/>
      <c r="E3" s="219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</row>
    <row r="4" spans="2:16" ht="14.25" customHeight="1" x14ac:dyDescent="0.25">
      <c r="B4" s="184" t="s">
        <v>86</v>
      </c>
      <c r="C4" s="218"/>
      <c r="D4" s="218"/>
      <c r="E4" s="219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</row>
    <row r="5" spans="2:16" ht="14.25" customHeight="1" x14ac:dyDescent="0.25">
      <c r="B5" s="218"/>
      <c r="C5" s="218"/>
      <c r="D5" s="218"/>
      <c r="E5" s="219"/>
      <c r="F5" s="221" t="s">
        <v>42</v>
      </c>
      <c r="G5" s="221"/>
      <c r="H5" s="221"/>
      <c r="I5" s="222"/>
      <c r="J5" s="222"/>
      <c r="K5" s="218"/>
      <c r="L5" s="218"/>
      <c r="M5" s="218"/>
      <c r="N5" s="218"/>
      <c r="O5" s="218"/>
      <c r="P5" s="218"/>
    </row>
    <row r="6" spans="2:16" ht="14.25" customHeight="1" x14ac:dyDescent="0.25">
      <c r="B6" s="218"/>
      <c r="C6" s="218"/>
      <c r="D6" s="218"/>
      <c r="E6" s="219"/>
      <c r="F6" s="218"/>
      <c r="G6" s="218"/>
      <c r="H6" s="218"/>
      <c r="I6" s="218"/>
      <c r="J6" s="218"/>
      <c r="K6" s="218"/>
      <c r="L6" s="218"/>
      <c r="M6" s="218"/>
      <c r="N6" s="218"/>
    </row>
    <row r="7" spans="2:16" ht="14.25" customHeight="1" x14ac:dyDescent="0.25">
      <c r="B7" s="218"/>
      <c r="C7" s="218"/>
      <c r="D7" s="223" t="s">
        <v>138</v>
      </c>
      <c r="E7" s="224"/>
      <c r="F7" s="223" t="s">
        <v>139</v>
      </c>
      <c r="G7" s="223"/>
      <c r="H7" s="223" t="s">
        <v>140</v>
      </c>
      <c r="I7" s="222"/>
      <c r="J7" s="223" t="s">
        <v>141</v>
      </c>
      <c r="K7" s="223"/>
      <c r="L7" s="223" t="s">
        <v>43</v>
      </c>
      <c r="M7" s="223"/>
      <c r="N7" s="223"/>
    </row>
    <row r="8" spans="2:16" ht="14.25" customHeight="1" x14ac:dyDescent="0.25">
      <c r="B8" s="218"/>
      <c r="C8" s="218"/>
      <c r="D8" s="223" t="s">
        <v>142</v>
      </c>
      <c r="E8" s="224"/>
      <c r="F8" s="223" t="s">
        <v>143</v>
      </c>
      <c r="G8" s="223"/>
      <c r="H8" s="223" t="s">
        <v>144</v>
      </c>
      <c r="I8" s="222"/>
      <c r="J8" s="223" t="s">
        <v>145</v>
      </c>
      <c r="K8" s="223"/>
      <c r="L8" s="223" t="s">
        <v>146</v>
      </c>
      <c r="M8" s="223"/>
      <c r="N8" s="223" t="s">
        <v>46</v>
      </c>
    </row>
    <row r="9" spans="2:16" ht="14.25" customHeight="1" x14ac:dyDescent="0.25">
      <c r="B9" s="194"/>
      <c r="C9" s="218"/>
      <c r="D9" s="225"/>
      <c r="E9" s="226"/>
      <c r="F9" s="225"/>
      <c r="G9" s="225"/>
      <c r="H9" s="225"/>
      <c r="I9" s="225"/>
      <c r="J9" s="225"/>
      <c r="K9" s="225"/>
      <c r="L9" s="225"/>
      <c r="M9" s="225"/>
      <c r="N9" s="225"/>
      <c r="O9" s="227"/>
    </row>
    <row r="10" spans="2:16" ht="14.25" customHeight="1" x14ac:dyDescent="0.25">
      <c r="B10" s="194"/>
      <c r="C10" s="218"/>
      <c r="D10" s="225"/>
      <c r="E10" s="226"/>
      <c r="F10" s="225"/>
      <c r="G10" s="225"/>
      <c r="H10" s="225"/>
      <c r="I10" s="225"/>
      <c r="J10" s="225"/>
      <c r="K10" s="225"/>
      <c r="L10" s="225"/>
      <c r="M10" s="225"/>
      <c r="N10" s="225"/>
      <c r="O10" s="227"/>
    </row>
    <row r="11" spans="2:16" ht="14.25" customHeight="1" thickBot="1" x14ac:dyDescent="0.3">
      <c r="B11" s="192" t="s">
        <v>147</v>
      </c>
      <c r="C11" s="218"/>
      <c r="D11" s="228">
        <v>218634</v>
      </c>
      <c r="E11" s="226"/>
      <c r="F11" s="228">
        <v>5474</v>
      </c>
      <c r="G11" s="226"/>
      <c r="H11" s="228">
        <v>84455</v>
      </c>
      <c r="I11" s="226"/>
      <c r="J11" s="228">
        <v>0</v>
      </c>
      <c r="K11" s="226"/>
      <c r="L11" s="228">
        <v>0</v>
      </c>
      <c r="M11" s="226"/>
      <c r="N11" s="228">
        <f>D11+F11+H11+J11</f>
        <v>308563</v>
      </c>
      <c r="O11" s="227"/>
    </row>
    <row r="12" spans="2:16" ht="14.25" customHeight="1" thickTop="1" x14ac:dyDescent="0.25">
      <c r="B12" s="218"/>
      <c r="C12" s="218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7"/>
    </row>
    <row r="13" spans="2:16" ht="14.25" customHeight="1" x14ac:dyDescent="0.25">
      <c r="B13" s="194" t="s">
        <v>148</v>
      </c>
      <c r="C13" s="218"/>
      <c r="D13" s="225">
        <v>28616</v>
      </c>
      <c r="E13" s="226"/>
      <c r="F13" s="225">
        <v>0</v>
      </c>
      <c r="G13" s="225"/>
      <c r="H13" s="225">
        <v>-28616</v>
      </c>
      <c r="I13" s="225"/>
      <c r="J13" s="225">
        <v>0</v>
      </c>
      <c r="K13" s="225"/>
      <c r="L13" s="225">
        <v>0</v>
      </c>
      <c r="M13" s="225"/>
      <c r="N13" s="225">
        <f>D13+F13+H13+L13</f>
        <v>0</v>
      </c>
    </row>
    <row r="14" spans="2:16" ht="14.25" customHeight="1" x14ac:dyDescent="0.25">
      <c r="B14" s="194" t="s">
        <v>57</v>
      </c>
      <c r="C14" s="218"/>
      <c r="D14" s="225">
        <v>0</v>
      </c>
      <c r="E14" s="226"/>
      <c r="F14" s="225">
        <v>0</v>
      </c>
      <c r="G14" s="225"/>
      <c r="H14" s="225">
        <v>0</v>
      </c>
      <c r="I14" s="225"/>
      <c r="J14" s="225">
        <v>0</v>
      </c>
      <c r="K14" s="225"/>
      <c r="L14" s="225">
        <v>37284</v>
      </c>
      <c r="M14" s="225"/>
      <c r="N14" s="225">
        <f t="shared" ref="N14:N17" si="0">D14+F14+H14+L14</f>
        <v>37284</v>
      </c>
    </row>
    <row r="15" spans="2:16" ht="14.25" customHeight="1" x14ac:dyDescent="0.25">
      <c r="B15" s="194" t="s">
        <v>149</v>
      </c>
      <c r="C15" s="218"/>
      <c r="D15" s="225">
        <v>0</v>
      </c>
      <c r="E15" s="226"/>
      <c r="F15" s="225">
        <v>0</v>
      </c>
      <c r="G15" s="225"/>
      <c r="H15" s="225">
        <v>-5</v>
      </c>
      <c r="I15" s="225"/>
      <c r="J15" s="229" t="s">
        <v>49</v>
      </c>
      <c r="K15" s="225"/>
      <c r="L15" s="225">
        <v>0</v>
      </c>
      <c r="M15" s="225"/>
      <c r="N15" s="225">
        <f t="shared" si="0"/>
        <v>-5</v>
      </c>
    </row>
    <row r="16" spans="2:16" ht="14.25" customHeight="1" x14ac:dyDescent="0.25">
      <c r="B16" s="194" t="s">
        <v>150</v>
      </c>
      <c r="C16" s="218"/>
      <c r="D16" s="225"/>
      <c r="E16" s="226"/>
      <c r="F16" s="225"/>
      <c r="G16" s="225"/>
      <c r="H16" s="225"/>
      <c r="I16" s="225"/>
      <c r="J16" s="225"/>
      <c r="K16" s="225"/>
      <c r="L16" s="225"/>
      <c r="M16" s="225"/>
      <c r="N16" s="225">
        <f t="shared" si="0"/>
        <v>0</v>
      </c>
    </row>
    <row r="17" spans="2:16" ht="14.25" customHeight="1" x14ac:dyDescent="0.25">
      <c r="B17" s="218"/>
      <c r="C17" s="194" t="s">
        <v>151</v>
      </c>
      <c r="D17" s="225">
        <v>0</v>
      </c>
      <c r="E17" s="226"/>
      <c r="F17" s="225">
        <v>1864</v>
      </c>
      <c r="G17" s="225"/>
      <c r="H17" s="225">
        <v>0</v>
      </c>
      <c r="I17" s="225"/>
      <c r="J17" s="225">
        <v>0</v>
      </c>
      <c r="K17" s="225"/>
      <c r="L17" s="225">
        <v>-1864</v>
      </c>
      <c r="M17" s="225"/>
      <c r="N17" s="225">
        <f t="shared" si="0"/>
        <v>0</v>
      </c>
    </row>
    <row r="18" spans="2:16" ht="14.25" customHeight="1" x14ac:dyDescent="0.25">
      <c r="B18" s="194" t="s">
        <v>152</v>
      </c>
      <c r="C18" s="218"/>
      <c r="D18" s="225">
        <v>0</v>
      </c>
      <c r="E18" s="226"/>
      <c r="F18" s="225">
        <v>0</v>
      </c>
      <c r="G18" s="225"/>
      <c r="H18" s="229">
        <f>8855-13831+1579</f>
        <v>-3397</v>
      </c>
      <c r="I18" s="225"/>
      <c r="J18" s="225">
        <v>0</v>
      </c>
      <c r="K18" s="225"/>
      <c r="L18" s="225">
        <v>-8855</v>
      </c>
      <c r="M18" s="225"/>
      <c r="N18" s="225">
        <f>D18+F18+H18+J18+L18</f>
        <v>-12252</v>
      </c>
    </row>
    <row r="19" spans="2:16" ht="14.25" customHeight="1" x14ac:dyDescent="0.25">
      <c r="B19" s="218"/>
      <c r="C19" s="194" t="s">
        <v>153</v>
      </c>
      <c r="D19" s="229">
        <v>0</v>
      </c>
      <c r="E19" s="226"/>
      <c r="F19" s="229">
        <v>0</v>
      </c>
      <c r="G19" s="225"/>
      <c r="H19" s="229">
        <v>-36000</v>
      </c>
      <c r="I19" s="225"/>
      <c r="J19" s="225">
        <v>8855</v>
      </c>
      <c r="K19" s="225"/>
      <c r="L19" s="229">
        <v>-8855</v>
      </c>
      <c r="M19" s="225"/>
      <c r="N19" s="225">
        <f>D19+F19+H19+J19+L19</f>
        <v>-36000</v>
      </c>
    </row>
    <row r="20" spans="2:16" ht="14.25" customHeight="1" x14ac:dyDescent="0.25">
      <c r="B20" s="218"/>
      <c r="C20" s="194" t="s">
        <v>154</v>
      </c>
      <c r="D20" s="230">
        <v>0</v>
      </c>
      <c r="E20" s="226"/>
      <c r="F20" s="230">
        <v>0</v>
      </c>
      <c r="G20" s="226"/>
      <c r="H20" s="230">
        <v>17710</v>
      </c>
      <c r="I20" s="226"/>
      <c r="J20" s="230">
        <v>0</v>
      </c>
      <c r="K20" s="226"/>
      <c r="L20" s="230">
        <v>-17710</v>
      </c>
      <c r="M20" s="226"/>
      <c r="N20" s="230">
        <f>D20+F20+H20+L20</f>
        <v>0</v>
      </c>
      <c r="O20" s="227"/>
    </row>
    <row r="21" spans="2:16" ht="14.25" customHeight="1" x14ac:dyDescent="0.25">
      <c r="B21" s="194"/>
      <c r="C21" s="218"/>
      <c r="D21" s="225"/>
      <c r="E21" s="226"/>
      <c r="F21" s="225"/>
      <c r="G21" s="225"/>
      <c r="H21" s="225"/>
      <c r="I21" s="225"/>
      <c r="J21" s="225"/>
      <c r="K21" s="225"/>
      <c r="L21" s="225"/>
      <c r="M21" s="225"/>
      <c r="N21" s="231"/>
      <c r="O21" s="232"/>
      <c r="P21" s="233"/>
    </row>
    <row r="22" spans="2:16" ht="14.25" customHeight="1" thickBot="1" x14ac:dyDescent="0.3">
      <c r="B22" s="192" t="s">
        <v>155</v>
      </c>
      <c r="C22" s="218"/>
      <c r="D22" s="228">
        <f>D11+D13+D14+D15+D16+D17+D20</f>
        <v>247250</v>
      </c>
      <c r="E22" s="226"/>
      <c r="F22" s="228">
        <f>F11+F13+F14+F15+F16+F17+F20</f>
        <v>7338</v>
      </c>
      <c r="G22" s="226"/>
      <c r="H22" s="228">
        <f>SUM(H11:H20)</f>
        <v>34147</v>
      </c>
      <c r="I22" s="226"/>
      <c r="J22" s="228">
        <f>SUM(J11:J20)</f>
        <v>8855</v>
      </c>
      <c r="K22" s="226"/>
      <c r="L22" s="228">
        <f>SUM(L13:L20)</f>
        <v>0</v>
      </c>
      <c r="M22" s="226"/>
      <c r="N22" s="228">
        <f>SUM(N11:N20)</f>
        <v>297590</v>
      </c>
    </row>
    <row r="23" spans="2:16" ht="14.25" customHeight="1" thickTop="1" x14ac:dyDescent="0.25">
      <c r="B23" s="192"/>
      <c r="C23" s="218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P23" s="233"/>
    </row>
    <row r="24" spans="2:16" ht="14.25" customHeight="1" x14ac:dyDescent="0.25">
      <c r="B24" s="194" t="s">
        <v>156</v>
      </c>
      <c r="C24" s="194"/>
      <c r="D24" s="225">
        <v>0</v>
      </c>
      <c r="E24" s="226"/>
      <c r="F24" s="225">
        <v>0</v>
      </c>
      <c r="G24" s="225"/>
      <c r="H24" s="229">
        <v>-4416</v>
      </c>
      <c r="I24" s="225"/>
      <c r="J24" s="225">
        <v>0</v>
      </c>
      <c r="K24" s="225"/>
      <c r="L24" s="225">
        <v>0</v>
      </c>
      <c r="M24" s="225"/>
      <c r="N24" s="225">
        <f>D24+F24+H24+J24+L24</f>
        <v>-4416</v>
      </c>
    </row>
    <row r="25" spans="2:16" ht="14.25" customHeight="1" x14ac:dyDescent="0.25">
      <c r="B25" s="194" t="s">
        <v>57</v>
      </c>
      <c r="C25" s="218"/>
      <c r="D25" s="225">
        <v>0</v>
      </c>
      <c r="E25" s="226"/>
      <c r="F25" s="225">
        <v>0</v>
      </c>
      <c r="G25" s="225"/>
      <c r="H25" s="225">
        <v>0</v>
      </c>
      <c r="I25" s="225"/>
      <c r="J25" s="225">
        <v>0</v>
      </c>
      <c r="K25" s="225"/>
      <c r="L25" s="225">
        <v>44808</v>
      </c>
      <c r="M25" s="225"/>
      <c r="N25" s="225">
        <f>D25+F25+H25+L25</f>
        <v>44808</v>
      </c>
    </row>
    <row r="26" spans="2:16" ht="14.25" customHeight="1" x14ac:dyDescent="0.25">
      <c r="B26" s="194" t="s">
        <v>150</v>
      </c>
      <c r="C26" s="218"/>
      <c r="D26" s="225"/>
      <c r="E26" s="226"/>
      <c r="F26" s="225"/>
      <c r="G26" s="225"/>
      <c r="H26" s="225"/>
      <c r="I26" s="225"/>
      <c r="J26" s="225"/>
      <c r="K26" s="225"/>
      <c r="L26" s="225"/>
      <c r="M26" s="225"/>
      <c r="N26" s="225"/>
    </row>
    <row r="27" spans="2:16" ht="14.25" customHeight="1" x14ac:dyDescent="0.25">
      <c r="B27" s="218"/>
      <c r="C27" s="194" t="s">
        <v>151</v>
      </c>
      <c r="D27" s="225">
        <v>0</v>
      </c>
      <c r="E27" s="226"/>
      <c r="F27" s="225">
        <v>2240</v>
      </c>
      <c r="G27" s="225"/>
      <c r="H27" s="225">
        <v>0</v>
      </c>
      <c r="I27" s="225"/>
      <c r="J27" s="225">
        <v>0</v>
      </c>
      <c r="K27" s="225"/>
      <c r="L27" s="225">
        <v>-2240</v>
      </c>
      <c r="M27" s="225"/>
      <c r="N27" s="225">
        <f>D27+F27+H27+L27</f>
        <v>0</v>
      </c>
    </row>
    <row r="28" spans="2:16" ht="14.25" customHeight="1" x14ac:dyDescent="0.25">
      <c r="B28" s="218"/>
      <c r="C28" s="194" t="s">
        <v>157</v>
      </c>
      <c r="D28" s="225">
        <v>0</v>
      </c>
      <c r="E28" s="226"/>
      <c r="F28" s="225">
        <v>0</v>
      </c>
      <c r="G28" s="225"/>
      <c r="H28" s="229">
        <v>0</v>
      </c>
      <c r="I28" s="225"/>
      <c r="J28" s="225">
        <v>0</v>
      </c>
      <c r="K28" s="225"/>
      <c r="L28" s="225">
        <v>-10642</v>
      </c>
      <c r="M28" s="225"/>
      <c r="N28" s="225">
        <f>H28+L28</f>
        <v>-10642</v>
      </c>
    </row>
    <row r="29" spans="2:16" ht="14.25" customHeight="1" x14ac:dyDescent="0.25">
      <c r="B29" s="218"/>
      <c r="C29" s="194" t="s">
        <v>153</v>
      </c>
      <c r="D29" s="225">
        <v>0</v>
      </c>
      <c r="E29" s="226"/>
      <c r="F29" s="225">
        <v>0</v>
      </c>
      <c r="G29" s="225"/>
      <c r="H29" s="229">
        <v>0</v>
      </c>
      <c r="I29" s="225"/>
      <c r="J29" s="225">
        <v>-8855</v>
      </c>
      <c r="K29" s="225"/>
      <c r="L29" s="225">
        <v>-1787</v>
      </c>
      <c r="M29" s="225"/>
      <c r="N29" s="225">
        <f>J29+L29</f>
        <v>-10642</v>
      </c>
    </row>
    <row r="30" spans="2:16" ht="14.25" customHeight="1" x14ac:dyDescent="0.25">
      <c r="B30" s="218"/>
      <c r="C30" s="194" t="s">
        <v>154</v>
      </c>
      <c r="D30" s="226">
        <v>0</v>
      </c>
      <c r="E30" s="226"/>
      <c r="F30" s="226">
        <v>0</v>
      </c>
      <c r="G30" s="226"/>
      <c r="H30" s="226">
        <v>30139</v>
      </c>
      <c r="I30" s="226"/>
      <c r="J30" s="226">
        <v>0</v>
      </c>
      <c r="K30" s="226"/>
      <c r="L30" s="226">
        <v>-30139</v>
      </c>
      <c r="M30" s="226"/>
      <c r="N30" s="226">
        <f>D30+F30+H30+L30</f>
        <v>0</v>
      </c>
    </row>
    <row r="31" spans="2:16" ht="14.25" customHeight="1" x14ac:dyDescent="0.25">
      <c r="B31" s="218"/>
      <c r="C31" s="194" t="s">
        <v>158</v>
      </c>
      <c r="D31" s="234" t="s">
        <v>49</v>
      </c>
      <c r="E31" s="230"/>
      <c r="F31" s="234" t="s">
        <v>49</v>
      </c>
      <c r="G31" s="230"/>
      <c r="H31" s="230">
        <v>490</v>
      </c>
      <c r="I31" s="230"/>
      <c r="J31" s="230"/>
      <c r="K31" s="230"/>
      <c r="L31" s="230"/>
      <c r="M31" s="230"/>
      <c r="N31" s="230">
        <v>490</v>
      </c>
    </row>
    <row r="32" spans="2:16" ht="14.25" customHeight="1" x14ac:dyDescent="0.25">
      <c r="B32" s="146" t="s">
        <v>159</v>
      </c>
      <c r="C32" s="218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</row>
    <row r="33" spans="2:16" ht="14.25" customHeight="1" thickBot="1" x14ac:dyDescent="0.3">
      <c r="B33" s="218"/>
      <c r="C33" s="142"/>
      <c r="D33" s="228">
        <f>D22+D25+D26+D27+D30</f>
        <v>247250</v>
      </c>
      <c r="E33" s="228"/>
      <c r="F33" s="228">
        <f>F22+F25+F26+F27+F30</f>
        <v>9578</v>
      </c>
      <c r="G33" s="228"/>
      <c r="H33" s="228">
        <f>SUM(H22:H31)</f>
        <v>60360</v>
      </c>
      <c r="I33" s="228"/>
      <c r="J33" s="228">
        <f>SUM(J22:J30)</f>
        <v>0</v>
      </c>
      <c r="K33" s="228"/>
      <c r="L33" s="228">
        <f>SUM(L25:L30)</f>
        <v>0</v>
      </c>
      <c r="M33" s="228"/>
      <c r="N33" s="228">
        <f>SUM(N22:N31)</f>
        <v>317188</v>
      </c>
      <c r="P33" s="232"/>
    </row>
    <row r="34" spans="2:16" ht="14.25" customHeight="1" thickTop="1" x14ac:dyDescent="0.25">
      <c r="B34" s="235"/>
      <c r="C34" s="218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32"/>
      <c r="P34" s="232"/>
    </row>
    <row r="35" spans="2:16" ht="14.25" customHeight="1" x14ac:dyDescent="0.25">
      <c r="B35" s="207"/>
      <c r="C35" s="235"/>
      <c r="D35" s="236"/>
      <c r="E35" s="237"/>
      <c r="F35" s="236"/>
      <c r="G35" s="236"/>
      <c r="H35" s="236"/>
      <c r="I35" s="236"/>
      <c r="J35" s="236"/>
      <c r="K35" s="236"/>
      <c r="L35" s="236"/>
      <c r="M35" s="236"/>
      <c r="N35" s="226"/>
    </row>
    <row r="36" spans="2:16" x14ac:dyDescent="0.25">
      <c r="C36" s="204" t="s">
        <v>134</v>
      </c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36"/>
      <c r="P36" s="236"/>
    </row>
    <row r="37" spans="2:16" x14ac:dyDescent="0.25">
      <c r="C37" s="238"/>
      <c r="D37" s="238"/>
      <c r="E37" s="239"/>
      <c r="F37" s="238"/>
      <c r="G37" s="238"/>
      <c r="H37" s="238"/>
      <c r="I37" s="238"/>
      <c r="J37" s="238"/>
      <c r="K37" s="238"/>
      <c r="L37" s="238"/>
      <c r="N37" s="178"/>
      <c r="O37" s="182"/>
      <c r="P37" s="182"/>
    </row>
    <row r="38" spans="2:16" x14ac:dyDescent="0.25">
      <c r="C38" s="238"/>
      <c r="D38" s="238"/>
      <c r="E38" s="239"/>
      <c r="F38" s="238"/>
      <c r="G38" s="238"/>
      <c r="H38" s="240"/>
      <c r="I38" s="238"/>
      <c r="J38" s="238"/>
      <c r="K38" s="238"/>
      <c r="L38" s="238"/>
      <c r="N38" s="241"/>
      <c r="O38" s="227"/>
      <c r="P38" s="227"/>
    </row>
  </sheetData>
  <mergeCells count="2">
    <mergeCell ref="F5:H5"/>
    <mergeCell ref="C36:N36"/>
  </mergeCells>
  <pageMargins left="1.1417322834645669" right="1.1417322834645669" top="0.6692913385826772" bottom="0.51181102362204722" header="0.51181102362204722" footer="0.51181102362204722"/>
  <pageSetup paperSize="9" scale="83" firstPageNumber="9" orientation="landscape" useFirstPageNumber="1" r:id="rId1"/>
  <headerFooter scaleWithDoc="0" alignWithMargins="0">
    <oddFooter>&amp;C&amp;"Times New Roman,Normal"&amp;P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workbookViewId="0">
      <selection activeCell="E50" sqref="E50"/>
    </sheetView>
  </sheetViews>
  <sheetFormatPr defaultRowHeight="14.25" x14ac:dyDescent="0.2"/>
  <cols>
    <col min="1" max="1" width="3.7109375" style="246" customWidth="1"/>
    <col min="2" max="4" width="1.85546875" style="246" customWidth="1"/>
    <col min="5" max="5" width="64.28515625" style="246" customWidth="1"/>
    <col min="6" max="6" width="2.5703125" style="246" customWidth="1"/>
    <col min="7" max="7" width="14" style="248" customWidth="1"/>
    <col min="8" max="8" width="3.140625" style="248" customWidth="1"/>
    <col min="9" max="9" width="13" style="248" customWidth="1"/>
    <col min="10" max="10" width="7.140625" style="219" customWidth="1"/>
    <col min="11" max="11" width="9.140625" style="246"/>
    <col min="12" max="16384" width="9.140625" style="194"/>
  </cols>
  <sheetData>
    <row r="1" spans="2:11" ht="15" x14ac:dyDescent="0.25">
      <c r="B1" s="217" t="s">
        <v>164</v>
      </c>
      <c r="C1" s="186"/>
      <c r="D1" s="186"/>
      <c r="E1" s="247"/>
      <c r="F1" s="247"/>
    </row>
    <row r="2" spans="2:11" ht="15" x14ac:dyDescent="0.25">
      <c r="B2" s="201" t="s">
        <v>165</v>
      </c>
      <c r="C2" s="186"/>
      <c r="D2" s="186"/>
      <c r="E2" s="194"/>
      <c r="F2" s="194"/>
    </row>
    <row r="3" spans="2:11" ht="15" x14ac:dyDescent="0.25">
      <c r="B3" s="184" t="s">
        <v>166</v>
      </c>
      <c r="C3" s="201"/>
      <c r="D3" s="201"/>
      <c r="E3" s="249"/>
      <c r="F3" s="249"/>
    </row>
    <row r="4" spans="2:11" x14ac:dyDescent="0.2">
      <c r="B4" s="243" t="s">
        <v>86</v>
      </c>
      <c r="C4" s="250"/>
      <c r="D4" s="250"/>
      <c r="E4" s="251"/>
      <c r="F4" s="251"/>
      <c r="J4" s="252"/>
    </row>
    <row r="5" spans="2:11" ht="15.75" thickBot="1" x14ac:dyDescent="0.3">
      <c r="G5" s="253">
        <v>2017</v>
      </c>
      <c r="H5" s="254"/>
      <c r="I5" s="253">
        <v>2016</v>
      </c>
      <c r="J5" s="255"/>
    </row>
    <row r="6" spans="2:11" ht="15" x14ac:dyDescent="0.25">
      <c r="B6" s="201" t="s">
        <v>167</v>
      </c>
      <c r="C6" s="186"/>
      <c r="D6" s="186"/>
      <c r="E6" s="194"/>
      <c r="F6" s="194"/>
      <c r="G6" s="237"/>
      <c r="H6" s="237"/>
      <c r="I6" s="237"/>
      <c r="J6" s="252"/>
      <c r="K6" s="219"/>
    </row>
    <row r="7" spans="2:11" ht="15" x14ac:dyDescent="0.25">
      <c r="B7" s="201" t="s">
        <v>168</v>
      </c>
      <c r="C7" s="186"/>
      <c r="D7" s="186"/>
      <c r="E7" s="194"/>
      <c r="F7" s="194"/>
      <c r="G7" s="237"/>
      <c r="H7" s="237"/>
      <c r="I7" s="237"/>
      <c r="J7" s="256"/>
      <c r="K7" s="256"/>
    </row>
    <row r="8" spans="2:11" ht="15" x14ac:dyDescent="0.25">
      <c r="B8" s="257"/>
      <c r="C8" s="186" t="s">
        <v>57</v>
      </c>
      <c r="D8" s="186"/>
      <c r="E8" s="194"/>
      <c r="F8" s="194"/>
      <c r="G8" s="226">
        <f>'[1]Suporte DFC DEZ 2017'!AD7</f>
        <v>44808</v>
      </c>
      <c r="H8" s="226"/>
      <c r="I8" s="226">
        <v>37284</v>
      </c>
      <c r="J8" s="256"/>
      <c r="K8" s="219"/>
    </row>
    <row r="9" spans="2:11" ht="15" x14ac:dyDescent="0.25">
      <c r="B9" s="257"/>
      <c r="C9" s="201" t="s">
        <v>169</v>
      </c>
      <c r="D9" s="186"/>
      <c r="E9" s="194"/>
      <c r="F9" s="194"/>
      <c r="G9" s="226"/>
      <c r="H9" s="226"/>
      <c r="I9" s="226"/>
      <c r="J9" s="256"/>
      <c r="K9" s="258"/>
    </row>
    <row r="10" spans="2:11" ht="15" x14ac:dyDescent="0.25">
      <c r="B10" s="257"/>
      <c r="C10" s="257"/>
      <c r="D10" s="186" t="s">
        <v>100</v>
      </c>
      <c r="E10" s="194"/>
      <c r="F10" s="194"/>
      <c r="G10" s="226">
        <f>'[1]Suporte DFC DEZ 2017'!AD9</f>
        <v>-7683</v>
      </c>
      <c r="H10" s="226"/>
      <c r="I10" s="226">
        <v>9234</v>
      </c>
      <c r="J10" s="256"/>
      <c r="K10" s="256"/>
    </row>
    <row r="11" spans="2:11" ht="15" x14ac:dyDescent="0.25">
      <c r="B11" s="257"/>
      <c r="C11" s="257"/>
      <c r="D11" s="186" t="s">
        <v>170</v>
      </c>
      <c r="E11" s="194"/>
      <c r="F11" s="194"/>
      <c r="G11" s="226">
        <f>'[1]Suporte DFC DEZ 2017'!AD10+1</f>
        <v>-4764</v>
      </c>
      <c r="H11" s="226"/>
      <c r="I11" s="226">
        <v>611</v>
      </c>
      <c r="J11" s="256"/>
      <c r="K11" s="258"/>
    </row>
    <row r="12" spans="2:11" ht="15" x14ac:dyDescent="0.25">
      <c r="B12" s="257"/>
      <c r="C12" s="257"/>
      <c r="D12" s="186" t="s">
        <v>171</v>
      </c>
      <c r="E12" s="194"/>
      <c r="F12" s="194"/>
      <c r="G12" s="226">
        <v>828</v>
      </c>
      <c r="H12" s="226"/>
      <c r="I12" s="226">
        <v>0</v>
      </c>
      <c r="J12" s="256"/>
      <c r="K12" s="258"/>
    </row>
    <row r="13" spans="2:11" ht="15" x14ac:dyDescent="0.25">
      <c r="B13" s="257"/>
      <c r="C13" s="257"/>
      <c r="D13" s="186" t="s">
        <v>172</v>
      </c>
      <c r="E13" s="194"/>
      <c r="F13" s="194"/>
      <c r="G13" s="226">
        <f>'[1]Suporte DFC DEZ 2017'!AD12</f>
        <v>806</v>
      </c>
      <c r="H13" s="226"/>
      <c r="I13" s="226">
        <v>806</v>
      </c>
      <c r="J13" s="256"/>
      <c r="K13" s="258"/>
    </row>
    <row r="14" spans="2:11" ht="15" x14ac:dyDescent="0.25">
      <c r="B14" s="257"/>
      <c r="C14" s="186"/>
      <c r="D14" s="186" t="s">
        <v>173</v>
      </c>
      <c r="E14" s="194"/>
      <c r="F14" s="194"/>
      <c r="G14" s="230">
        <v>7395</v>
      </c>
      <c r="H14" s="226"/>
      <c r="I14" s="230">
        <v>8203</v>
      </c>
      <c r="J14" s="256"/>
      <c r="K14" s="258"/>
    </row>
    <row r="15" spans="2:11" ht="15" x14ac:dyDescent="0.25">
      <c r="B15" s="257"/>
      <c r="C15" s="186"/>
      <c r="E15" s="194"/>
      <c r="F15" s="194"/>
      <c r="G15" s="226">
        <f>SUM(G8:G14)</f>
        <v>41390</v>
      </c>
      <c r="H15" s="226"/>
      <c r="I15" s="226">
        <f>SUM(I8:I14)</f>
        <v>56138</v>
      </c>
      <c r="J15" s="256"/>
      <c r="K15" s="219"/>
    </row>
    <row r="16" spans="2:11" ht="15" x14ac:dyDescent="0.25">
      <c r="B16" s="257"/>
      <c r="C16" s="201" t="s">
        <v>174</v>
      </c>
      <c r="D16" s="186"/>
      <c r="E16" s="194"/>
      <c r="F16" s="194"/>
      <c r="G16" s="226"/>
      <c r="H16" s="226"/>
      <c r="I16" s="226"/>
      <c r="J16" s="256"/>
      <c r="K16" s="258"/>
    </row>
    <row r="17" spans="2:12" ht="15" x14ac:dyDescent="0.25">
      <c r="B17" s="257"/>
      <c r="D17" s="186" t="s">
        <v>192</v>
      </c>
      <c r="E17" s="194"/>
      <c r="F17" s="194"/>
      <c r="G17" s="226">
        <f>'[1]Suporte DFC DEZ 2017'!AD16+1</f>
        <v>-997</v>
      </c>
      <c r="H17" s="226"/>
      <c r="I17" s="226">
        <v>-6205</v>
      </c>
      <c r="J17" s="256"/>
      <c r="K17" s="258"/>
    </row>
    <row r="18" spans="2:12" ht="15" x14ac:dyDescent="0.25">
      <c r="B18" s="257"/>
      <c r="D18" s="186" t="s">
        <v>175</v>
      </c>
      <c r="E18" s="194"/>
      <c r="F18" s="194"/>
      <c r="G18" s="226">
        <v>1084</v>
      </c>
      <c r="H18" s="226"/>
      <c r="I18" s="226">
        <v>1158</v>
      </c>
      <c r="J18" s="256"/>
      <c r="K18" s="258"/>
    </row>
    <row r="19" spans="2:12" ht="15" x14ac:dyDescent="0.25">
      <c r="B19" s="257"/>
      <c r="D19" s="259" t="s">
        <v>176</v>
      </c>
      <c r="E19" s="194"/>
      <c r="F19" s="194"/>
      <c r="G19" s="226">
        <f>'[1]Suporte DFC DEZ 2017'!AD22</f>
        <v>4451</v>
      </c>
      <c r="H19" s="226"/>
      <c r="I19" s="226">
        <v>-654</v>
      </c>
      <c r="J19" s="256"/>
      <c r="K19" s="258"/>
    </row>
    <row r="20" spans="2:12" ht="15" x14ac:dyDescent="0.25">
      <c r="B20" s="257"/>
      <c r="D20" s="259" t="s">
        <v>193</v>
      </c>
      <c r="E20" s="194"/>
      <c r="F20" s="194"/>
      <c r="G20" s="226">
        <v>548</v>
      </c>
      <c r="H20" s="226"/>
      <c r="I20" s="226">
        <v>531</v>
      </c>
      <c r="J20" s="256"/>
      <c r="K20" s="258"/>
    </row>
    <row r="21" spans="2:12" ht="15" x14ac:dyDescent="0.25">
      <c r="B21" s="257"/>
      <c r="D21" s="186" t="s">
        <v>194</v>
      </c>
      <c r="E21" s="194"/>
      <c r="F21" s="141"/>
      <c r="G21" s="230">
        <v>-3476</v>
      </c>
      <c r="H21" s="226"/>
      <c r="I21" s="230">
        <v>1004</v>
      </c>
      <c r="J21" s="256"/>
      <c r="K21" s="219"/>
    </row>
    <row r="22" spans="2:12" ht="15" x14ac:dyDescent="0.25">
      <c r="B22" s="257"/>
      <c r="C22" s="260" t="s">
        <v>177</v>
      </c>
      <c r="D22" s="260"/>
      <c r="E22" s="194"/>
      <c r="F22" s="194"/>
      <c r="G22" s="226">
        <f>SUM(G17:G21)</f>
        <v>1610</v>
      </c>
      <c r="H22" s="226"/>
      <c r="I22" s="226">
        <f>SUM(I17:I21)</f>
        <v>-4166</v>
      </c>
      <c r="J22" s="256"/>
      <c r="K22" s="219"/>
    </row>
    <row r="23" spans="2:12" ht="15" x14ac:dyDescent="0.25">
      <c r="B23" s="257"/>
      <c r="C23" s="186"/>
      <c r="D23" s="186"/>
      <c r="E23" s="186"/>
      <c r="F23" s="186"/>
      <c r="G23" s="226"/>
      <c r="H23" s="226"/>
      <c r="I23" s="226"/>
      <c r="J23" s="256"/>
      <c r="K23" s="258"/>
    </row>
    <row r="24" spans="2:12" ht="15.75" thickBot="1" x14ac:dyDescent="0.3">
      <c r="B24" s="257"/>
      <c r="C24" s="186" t="s">
        <v>178</v>
      </c>
      <c r="D24" s="186"/>
      <c r="E24" s="194"/>
      <c r="F24" s="194"/>
      <c r="G24" s="261">
        <f>G22+G15</f>
        <v>43000</v>
      </c>
      <c r="H24" s="262"/>
      <c r="I24" s="261">
        <f>I22+I15</f>
        <v>51972</v>
      </c>
      <c r="J24" s="256"/>
      <c r="K24" s="258"/>
    </row>
    <row r="25" spans="2:12" ht="15.75" thickTop="1" x14ac:dyDescent="0.25">
      <c r="B25" s="257"/>
      <c r="D25" s="186"/>
      <c r="F25" s="186"/>
      <c r="H25" s="262"/>
      <c r="J25" s="256"/>
      <c r="K25" s="219"/>
    </row>
    <row r="26" spans="2:12" ht="15" x14ac:dyDescent="0.25">
      <c r="B26" s="201" t="s">
        <v>179</v>
      </c>
      <c r="C26" s="186"/>
      <c r="D26" s="186"/>
      <c r="E26" s="194"/>
      <c r="F26" s="194"/>
      <c r="G26" s="226"/>
      <c r="H26" s="226"/>
      <c r="I26" s="226"/>
      <c r="J26" s="256"/>
      <c r="K26" s="258"/>
    </row>
    <row r="27" spans="2:12" ht="15" x14ac:dyDescent="0.25">
      <c r="C27" s="186" t="s">
        <v>195</v>
      </c>
      <c r="D27" s="186"/>
      <c r="E27" s="194"/>
      <c r="F27" s="194"/>
      <c r="G27" s="226">
        <v>-1667</v>
      </c>
      <c r="H27" s="226"/>
      <c r="I27" s="226">
        <v>-2092</v>
      </c>
      <c r="J27" s="256"/>
      <c r="K27" s="258"/>
      <c r="L27" s="263"/>
    </row>
    <row r="28" spans="2:12" ht="15" x14ac:dyDescent="0.25">
      <c r="C28" s="264" t="s">
        <v>180</v>
      </c>
      <c r="D28" s="264"/>
      <c r="E28" s="263"/>
      <c r="F28" s="263"/>
      <c r="G28" s="230">
        <v>3060</v>
      </c>
      <c r="H28" s="226"/>
      <c r="I28" s="230">
        <v>1948</v>
      </c>
      <c r="J28" s="256"/>
      <c r="K28" s="258"/>
    </row>
    <row r="29" spans="2:12" ht="15.75" thickBot="1" x14ac:dyDescent="0.3">
      <c r="C29" s="201" t="s">
        <v>181</v>
      </c>
      <c r="D29" s="186"/>
      <c r="E29" s="194"/>
      <c r="F29" s="194"/>
      <c r="G29" s="261">
        <f>SUM(G27:G28)</f>
        <v>1393</v>
      </c>
      <c r="H29" s="262"/>
      <c r="I29" s="261">
        <f>SUM(I27:I28)</f>
        <v>-144</v>
      </c>
      <c r="J29" s="256"/>
      <c r="K29" s="219"/>
    </row>
    <row r="30" spans="2:12" ht="15.75" thickTop="1" x14ac:dyDescent="0.25">
      <c r="C30" s="201"/>
      <c r="D30" s="186"/>
      <c r="E30" s="194"/>
      <c r="F30" s="194"/>
      <c r="G30" s="262"/>
      <c r="H30" s="262"/>
      <c r="I30" s="262"/>
      <c r="J30" s="256"/>
      <c r="K30" s="219"/>
    </row>
    <row r="31" spans="2:12" ht="15" x14ac:dyDescent="0.25">
      <c r="B31" s="201" t="s">
        <v>182</v>
      </c>
      <c r="C31" s="186"/>
      <c r="D31" s="186"/>
      <c r="E31" s="194"/>
      <c r="F31" s="194"/>
      <c r="G31" s="226"/>
      <c r="H31" s="226"/>
      <c r="I31" s="226"/>
      <c r="J31" s="256"/>
      <c r="K31" s="219"/>
    </row>
    <row r="32" spans="2:12" ht="15" x14ac:dyDescent="0.25">
      <c r="C32" s="186" t="s">
        <v>183</v>
      </c>
      <c r="D32" s="186"/>
      <c r="E32" s="194"/>
      <c r="F32" s="194"/>
      <c r="G32" s="226">
        <f>'[1]Suporte DFC DEZ 2017'!AD39</f>
        <v>-9</v>
      </c>
      <c r="H32" s="226"/>
      <c r="I32" s="226">
        <v>-13</v>
      </c>
      <c r="J32" s="256"/>
      <c r="K32" s="219"/>
    </row>
    <row r="33" spans="2:11" ht="15" x14ac:dyDescent="0.25">
      <c r="C33" s="186" t="s">
        <v>184</v>
      </c>
      <c r="D33" s="186"/>
      <c r="E33" s="194"/>
      <c r="F33" s="194"/>
      <c r="G33" s="226">
        <v>-16915</v>
      </c>
      <c r="H33" s="226"/>
      <c r="I33" s="226">
        <v>-8855</v>
      </c>
      <c r="J33" s="256"/>
      <c r="K33" s="219"/>
    </row>
    <row r="34" spans="2:11" ht="15" x14ac:dyDescent="0.25">
      <c r="C34" s="186" t="s">
        <v>196</v>
      </c>
      <c r="D34" s="186"/>
      <c r="E34" s="194"/>
      <c r="F34" s="194"/>
      <c r="G34" s="226">
        <v>-4416</v>
      </c>
      <c r="H34" s="226"/>
      <c r="I34" s="226">
        <v>0</v>
      </c>
      <c r="J34" s="256"/>
      <c r="K34" s="219"/>
    </row>
    <row r="35" spans="2:11" ht="15" x14ac:dyDescent="0.25">
      <c r="C35" s="186" t="s">
        <v>185</v>
      </c>
      <c r="D35" s="186"/>
      <c r="E35" s="194"/>
      <c r="F35" s="194"/>
      <c r="G35" s="230">
        <v>-1787</v>
      </c>
      <c r="H35" s="226"/>
      <c r="I35" s="230">
        <v>-36000</v>
      </c>
      <c r="J35" s="256"/>
      <c r="K35" s="219"/>
    </row>
    <row r="36" spans="2:11" ht="15.75" thickBot="1" x14ac:dyDescent="0.3">
      <c r="C36" s="265" t="s">
        <v>197</v>
      </c>
      <c r="D36" s="194"/>
      <c r="E36" s="262"/>
      <c r="F36" s="262"/>
      <c r="G36" s="261">
        <f>SUM(G32:G35)</f>
        <v>-23127</v>
      </c>
      <c r="H36" s="226"/>
      <c r="I36" s="230">
        <f>SUM(I32:I35)</f>
        <v>-44868</v>
      </c>
      <c r="J36" s="256"/>
      <c r="K36" s="219"/>
    </row>
    <row r="37" spans="2:11" ht="15.75" thickTop="1" x14ac:dyDescent="0.25">
      <c r="C37" s="186"/>
      <c r="D37" s="186"/>
      <c r="E37" s="194"/>
      <c r="F37" s="194"/>
      <c r="G37" s="226"/>
      <c r="H37" s="226"/>
      <c r="I37" s="226"/>
      <c r="J37" s="256"/>
      <c r="K37" s="258"/>
    </row>
    <row r="38" spans="2:11" ht="15" x14ac:dyDescent="0.25">
      <c r="C38" s="201" t="s">
        <v>198</v>
      </c>
      <c r="D38" s="186"/>
      <c r="E38" s="194"/>
      <c r="F38" s="194"/>
      <c r="G38" s="226"/>
      <c r="H38" s="226"/>
      <c r="I38" s="226"/>
      <c r="J38" s="256"/>
      <c r="K38" s="258"/>
    </row>
    <row r="39" spans="2:11" ht="15.75" thickBot="1" x14ac:dyDescent="0.3">
      <c r="C39" s="201" t="s">
        <v>186</v>
      </c>
      <c r="D39" s="186"/>
      <c r="E39" s="194"/>
      <c r="F39" s="194"/>
      <c r="G39" s="266">
        <v>21266</v>
      </c>
      <c r="H39" s="267"/>
      <c r="I39" s="266">
        <v>6960</v>
      </c>
      <c r="J39" s="256"/>
      <c r="K39" s="219"/>
    </row>
    <row r="40" spans="2:11" ht="15.75" thickTop="1" x14ac:dyDescent="0.25">
      <c r="C40" s="268"/>
      <c r="D40" s="264"/>
      <c r="E40" s="263"/>
      <c r="F40" s="263"/>
      <c r="G40" s="262"/>
      <c r="H40" s="262"/>
      <c r="I40" s="262"/>
      <c r="J40" s="256"/>
      <c r="K40" s="219"/>
    </row>
    <row r="41" spans="2:11" ht="15" x14ac:dyDescent="0.25">
      <c r="B41" s="201" t="s">
        <v>187</v>
      </c>
      <c r="C41" s="201"/>
      <c r="D41" s="186"/>
      <c r="E41" s="194"/>
      <c r="F41" s="194"/>
      <c r="G41" s="226"/>
      <c r="H41" s="226"/>
      <c r="I41" s="226"/>
      <c r="J41" s="256"/>
      <c r="K41" s="219"/>
    </row>
    <row r="42" spans="2:11" ht="15" x14ac:dyDescent="0.25">
      <c r="B42" s="257"/>
      <c r="C42" s="201" t="s">
        <v>188</v>
      </c>
      <c r="D42" s="186"/>
      <c r="E42" s="194"/>
      <c r="F42" s="194"/>
      <c r="G42" s="226"/>
      <c r="H42" s="226"/>
      <c r="I42" s="226"/>
      <c r="J42" s="256"/>
      <c r="K42" s="258"/>
    </row>
    <row r="43" spans="2:11" ht="15" x14ac:dyDescent="0.25">
      <c r="B43" s="257"/>
      <c r="C43" s="201"/>
      <c r="D43" s="186" t="s">
        <v>189</v>
      </c>
      <c r="E43" s="194"/>
      <c r="F43" s="194"/>
      <c r="G43" s="226">
        <v>168829</v>
      </c>
      <c r="H43" s="226"/>
      <c r="I43" s="226">
        <v>147562</v>
      </c>
      <c r="J43" s="256"/>
      <c r="K43" s="258"/>
    </row>
    <row r="44" spans="2:11" ht="15" x14ac:dyDescent="0.25">
      <c r="B44" s="257"/>
      <c r="C44" s="201"/>
      <c r="D44" s="186" t="s">
        <v>190</v>
      </c>
      <c r="E44" s="194"/>
      <c r="F44" s="194"/>
      <c r="G44" s="230">
        <v>147563</v>
      </c>
      <c r="H44" s="226"/>
      <c r="I44" s="230">
        <v>140602</v>
      </c>
      <c r="J44" s="256"/>
      <c r="K44" s="258"/>
    </row>
    <row r="45" spans="2:11" ht="15.75" thickBot="1" x14ac:dyDescent="0.3">
      <c r="B45" s="201" t="s">
        <v>191</v>
      </c>
      <c r="C45" s="201"/>
      <c r="D45" s="186"/>
      <c r="E45" s="194"/>
      <c r="F45" s="194"/>
      <c r="G45" s="266">
        <f>G43-G44</f>
        <v>21266</v>
      </c>
      <c r="H45" s="267"/>
      <c r="I45" s="266">
        <f>I43-I44</f>
        <v>6960</v>
      </c>
      <c r="J45" s="237"/>
    </row>
    <row r="46" spans="2:11" ht="15" thickTop="1" x14ac:dyDescent="0.2">
      <c r="G46" s="237"/>
      <c r="H46" s="237"/>
      <c r="I46" s="237"/>
      <c r="J46" s="269"/>
    </row>
    <row r="47" spans="2:11" x14ac:dyDescent="0.2">
      <c r="J47" s="270"/>
    </row>
    <row r="48" spans="2:11" x14ac:dyDescent="0.2">
      <c r="B48" s="271" t="s">
        <v>134</v>
      </c>
      <c r="C48" s="271"/>
      <c r="D48" s="271"/>
      <c r="E48" s="272"/>
      <c r="F48" s="272"/>
      <c r="G48" s="273"/>
      <c r="H48" s="273"/>
      <c r="I48" s="273"/>
    </row>
    <row r="51" spans="1:12" s="248" customFormat="1" x14ac:dyDescent="0.2">
      <c r="A51" s="246"/>
      <c r="B51" s="246"/>
      <c r="C51" s="246"/>
      <c r="D51" s="246"/>
      <c r="E51" s="246"/>
      <c r="F51" s="246"/>
      <c r="G51" s="248">
        <f>G39-G45</f>
        <v>0</v>
      </c>
      <c r="J51" s="219"/>
      <c r="K51" s="246"/>
      <c r="L51" s="194"/>
    </row>
  </sheetData>
  <pageMargins left="0.51181102362204722" right="0.51181102362204722" top="0.59055118110236227" bottom="0.59055118110236227" header="0" footer="0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showGridLines="0" tabSelected="1" workbookViewId="0">
      <selection activeCell="F27" sqref="F27"/>
    </sheetView>
  </sheetViews>
  <sheetFormatPr defaultRowHeight="15.75" x14ac:dyDescent="0.25"/>
  <cols>
    <col min="1" max="1" width="50.28515625" style="279" customWidth="1"/>
    <col min="2" max="3" width="10.85546875" style="279" bestFit="1" customWidth="1"/>
    <col min="4" max="16384" width="9.140625" style="279"/>
  </cols>
  <sheetData>
    <row r="1" spans="1:3" x14ac:dyDescent="0.25">
      <c r="A1" s="277" t="s">
        <v>135</v>
      </c>
      <c r="B1" s="278"/>
      <c r="C1" s="278"/>
    </row>
    <row r="2" spans="1:3" x14ac:dyDescent="0.25">
      <c r="A2" s="277"/>
      <c r="B2" s="278"/>
      <c r="C2" s="278"/>
    </row>
    <row r="3" spans="1:3" x14ac:dyDescent="0.25">
      <c r="A3" s="277" t="s">
        <v>199</v>
      </c>
      <c r="B3" s="278"/>
      <c r="C3" s="278"/>
    </row>
    <row r="4" spans="1:3" x14ac:dyDescent="0.25">
      <c r="A4" s="278"/>
      <c r="B4" s="278"/>
      <c r="C4" s="278"/>
    </row>
    <row r="5" spans="1:3" x14ac:dyDescent="0.25">
      <c r="A5" s="277" t="s">
        <v>200</v>
      </c>
      <c r="B5" s="277"/>
      <c r="C5" s="277"/>
    </row>
    <row r="6" spans="1:3" x14ac:dyDescent="0.25">
      <c r="A6" s="277"/>
      <c r="B6" s="278"/>
      <c r="C6" s="278"/>
    </row>
    <row r="7" spans="1:3" x14ac:dyDescent="0.25">
      <c r="A7" s="280" t="s">
        <v>86</v>
      </c>
      <c r="B7" s="281"/>
      <c r="C7" s="281"/>
    </row>
    <row r="10" spans="1:3" s="282" customFormat="1" thickBot="1" x14ac:dyDescent="0.3">
      <c r="B10" s="274">
        <v>2017</v>
      </c>
      <c r="C10" s="274">
        <v>2016</v>
      </c>
    </row>
    <row r="11" spans="1:3" s="282" customFormat="1" ht="15" x14ac:dyDescent="0.25">
      <c r="A11" s="283" t="s">
        <v>201</v>
      </c>
    </row>
    <row r="12" spans="1:3" s="282" customFormat="1" ht="14.25" x14ac:dyDescent="0.2">
      <c r="A12" s="282" t="s">
        <v>202</v>
      </c>
      <c r="B12" s="284">
        <f>9338+42890+2541+32793+2286+6730</f>
        <v>96578</v>
      </c>
      <c r="C12" s="284">
        <f>8583+40434+2474+33202+826+2133</f>
        <v>87652</v>
      </c>
    </row>
    <row r="13" spans="1:3" s="282" customFormat="1" ht="14.25" x14ac:dyDescent="0.2">
      <c r="A13" s="282" t="s">
        <v>203</v>
      </c>
      <c r="B13" s="275">
        <f>200-503</f>
        <v>-303</v>
      </c>
      <c r="C13" s="275">
        <f>245-596</f>
        <v>-351</v>
      </c>
    </row>
    <row r="14" spans="1:3" s="282" customFormat="1" ht="14.25" x14ac:dyDescent="0.2">
      <c r="B14" s="284">
        <f>B12+B13</f>
        <v>96275</v>
      </c>
      <c r="C14" s="284">
        <f>C12+C13</f>
        <v>87301</v>
      </c>
    </row>
    <row r="15" spans="1:3" s="282" customFormat="1" ht="14.25" x14ac:dyDescent="0.2">
      <c r="A15" s="282" t="s">
        <v>204</v>
      </c>
      <c r="B15" s="284"/>
      <c r="C15" s="284"/>
    </row>
    <row r="16" spans="1:3" s="282" customFormat="1" ht="14.25" x14ac:dyDescent="0.2">
      <c r="A16" s="282" t="s">
        <v>205</v>
      </c>
      <c r="B16" s="276">
        <f>-28356</f>
        <v>-28356</v>
      </c>
      <c r="C16" s="276">
        <f>-7562</f>
        <v>-7562</v>
      </c>
    </row>
    <row r="17" spans="1:3" s="282" customFormat="1" ht="14.25" x14ac:dyDescent="0.2">
      <c r="A17" s="282" t="s">
        <v>206</v>
      </c>
      <c r="B17" s="275">
        <f>-209-2594-38-692</f>
        <v>-3533</v>
      </c>
      <c r="C17" s="275">
        <f>-194-4940-38-1272</f>
        <v>-6444</v>
      </c>
    </row>
    <row r="18" spans="1:3" s="282" customFormat="1" ht="14.25" x14ac:dyDescent="0.2">
      <c r="B18" s="275">
        <f>B16+B17</f>
        <v>-31889</v>
      </c>
      <c r="C18" s="275">
        <f>C16+C17</f>
        <v>-14006</v>
      </c>
    </row>
    <row r="19" spans="1:3" s="282" customFormat="1" ht="14.25" x14ac:dyDescent="0.2">
      <c r="B19" s="284"/>
      <c r="C19" s="284"/>
    </row>
    <row r="20" spans="1:3" s="282" customFormat="1" ht="15" x14ac:dyDescent="0.25">
      <c r="A20" s="283" t="s">
        <v>207</v>
      </c>
      <c r="B20" s="285">
        <f>B14+B18</f>
        <v>64386</v>
      </c>
      <c r="C20" s="285">
        <f>C14+C18</f>
        <v>73295</v>
      </c>
    </row>
    <row r="21" spans="1:3" s="282" customFormat="1" ht="14.25" x14ac:dyDescent="0.2">
      <c r="B21" s="284"/>
      <c r="C21" s="284"/>
    </row>
    <row r="22" spans="1:3" s="282" customFormat="1" ht="14.25" x14ac:dyDescent="0.2">
      <c r="A22" s="282" t="s">
        <v>208</v>
      </c>
      <c r="B22" s="285">
        <f>B20</f>
        <v>64386</v>
      </c>
      <c r="C22" s="285">
        <f>C20</f>
        <v>73295</v>
      </c>
    </row>
    <row r="23" spans="1:3" s="282" customFormat="1" ht="14.25" x14ac:dyDescent="0.2">
      <c r="B23" s="284"/>
      <c r="C23" s="284"/>
    </row>
    <row r="24" spans="1:3" s="282" customFormat="1" ht="14.25" x14ac:dyDescent="0.2">
      <c r="A24" s="282" t="s">
        <v>209</v>
      </c>
      <c r="B24" s="284"/>
      <c r="C24" s="284"/>
    </row>
    <row r="25" spans="1:3" s="282" customFormat="1" ht="14.25" x14ac:dyDescent="0.2">
      <c r="A25" s="282" t="s">
        <v>210</v>
      </c>
      <c r="B25" s="276">
        <f>(15314-(20862-16915))</f>
        <v>11367</v>
      </c>
      <c r="C25" s="276">
        <f>(19540-(33883-13831))</f>
        <v>-512</v>
      </c>
    </row>
    <row r="26" spans="1:3" s="282" customFormat="1" ht="14.25" x14ac:dyDescent="0.2">
      <c r="A26" s="282" t="s">
        <v>211</v>
      </c>
      <c r="B26" s="275">
        <f>4764</f>
        <v>4764</v>
      </c>
      <c r="C26" s="275">
        <f>-610953.55/1000</f>
        <v>-610.95355000000006</v>
      </c>
    </row>
    <row r="27" spans="1:3" s="282" customFormat="1" ht="14.25" x14ac:dyDescent="0.2">
      <c r="B27" s="275">
        <f>B25+B26</f>
        <v>16131</v>
      </c>
      <c r="C27" s="275">
        <f>C25+C26</f>
        <v>-1122.9535500000002</v>
      </c>
    </row>
    <row r="28" spans="1:3" s="282" customFormat="1" ht="14.25" x14ac:dyDescent="0.2">
      <c r="B28" s="284"/>
      <c r="C28" s="284"/>
    </row>
    <row r="29" spans="1:3" s="282" customFormat="1" thickBot="1" x14ac:dyDescent="0.3">
      <c r="A29" s="283" t="s">
        <v>212</v>
      </c>
      <c r="B29" s="286">
        <f>B22+B27</f>
        <v>80517</v>
      </c>
      <c r="C29" s="286">
        <f>C22+C27</f>
        <v>72172.046449999994</v>
      </c>
    </row>
    <row r="30" spans="1:3" s="282" customFormat="1" ht="14.25" x14ac:dyDescent="0.2">
      <c r="B30" s="284"/>
      <c r="C30" s="284"/>
    </row>
    <row r="31" spans="1:3" s="282" customFormat="1" ht="14.25" x14ac:dyDescent="0.2">
      <c r="A31" s="282" t="s">
        <v>213</v>
      </c>
      <c r="B31" s="284"/>
      <c r="C31" s="284"/>
    </row>
    <row r="32" spans="1:3" s="282" customFormat="1" ht="14.25" x14ac:dyDescent="0.2">
      <c r="A32" s="282" t="s">
        <v>214</v>
      </c>
      <c r="B32" s="284"/>
      <c r="C32" s="284"/>
    </row>
    <row r="33" spans="1:3" s="282" customFormat="1" ht="14.25" x14ac:dyDescent="0.2">
      <c r="A33" s="282" t="s">
        <v>215</v>
      </c>
      <c r="B33" s="284">
        <f>522+270+488+1020+566</f>
        <v>2866</v>
      </c>
      <c r="C33" s="284">
        <f>(352723.74+41443.95+117923.5+771525.08+370200.04)/1000</f>
        <v>1653.8163100000002</v>
      </c>
    </row>
    <row r="34" spans="1:3" s="282" customFormat="1" ht="14.25" x14ac:dyDescent="0.2">
      <c r="A34" s="282" t="s">
        <v>216</v>
      </c>
      <c r="B34" s="284">
        <f>29+45+94+45+166</f>
        <v>379</v>
      </c>
      <c r="C34" s="284">
        <f>(128889.75+3589.38+10072.86+77981.28+28689.36)/1000</f>
        <v>249.22263000000001</v>
      </c>
    </row>
    <row r="35" spans="1:3" s="282" customFormat="1" ht="14.25" x14ac:dyDescent="0.2">
      <c r="A35" s="282" t="s">
        <v>217</v>
      </c>
      <c r="B35" s="284">
        <f>87+133+112</f>
        <v>332</v>
      </c>
      <c r="C35" s="284">
        <f>(4952.76+14709.24+11556.4+55195.78+67382)/1000</f>
        <v>153.79617999999999</v>
      </c>
    </row>
    <row r="36" spans="1:3" s="282" customFormat="1" ht="14.25" x14ac:dyDescent="0.2">
      <c r="A36" s="282" t="s">
        <v>218</v>
      </c>
      <c r="B36" s="284">
        <f>28+22+71+57+99+69+16+8</f>
        <v>370</v>
      </c>
      <c r="C36" s="284">
        <f>(1492.61+1357.53+5843.23+5728.76+94594.11+67791.8+10032.08+3850.85)/1000</f>
        <v>190.69096999999999</v>
      </c>
    </row>
    <row r="37" spans="1:3" s="282" customFormat="1" ht="14.25" x14ac:dyDescent="0.2">
      <c r="A37" s="282" t="s">
        <v>219</v>
      </c>
      <c r="B37" s="284">
        <f>70+16+5+45+12+3+120+27+8+71+19+5+145+33+10+108+29+9+63+17+50+13+4+5</f>
        <v>887</v>
      </c>
      <c r="C37" s="284">
        <f>(16885.64+4335.5+1270.48+7630.59+3775.19+159.42+48667.41+12646.23+3705.83+5370.84+5303.04+429.65+158755.04+38407.39+11254.85+88426.15+28785.68+7073.98+48974.25+33671.64+9192.36+2693.71)/1000</f>
        <v>537.41486999999984</v>
      </c>
    </row>
    <row r="38" spans="1:3" s="282" customFormat="1" ht="14.25" x14ac:dyDescent="0.2">
      <c r="A38" s="282" t="s">
        <v>220</v>
      </c>
      <c r="B38" s="284">
        <f>38+1+65+3+1+1+134+5+4+1+58+130</f>
        <v>441</v>
      </c>
      <c r="C38" s="284">
        <f>(98123.41+621.76+1795.15+100593.3+7580+247.49+5316.91+5174.73+14410.18+94.08+216+100.74+376.32+504+41302.04)/1000</f>
        <v>276.45610999999997</v>
      </c>
    </row>
    <row r="39" spans="1:3" s="282" customFormat="1" ht="14.25" x14ac:dyDescent="0.2">
      <c r="A39" s="282" t="s">
        <v>221</v>
      </c>
      <c r="B39" s="284">
        <f>47+169+17</f>
        <v>233</v>
      </c>
      <c r="C39" s="284">
        <f>(30592.62+145475.08)/1000</f>
        <v>176.06769999999997</v>
      </c>
    </row>
    <row r="40" spans="1:3" s="282" customFormat="1" ht="14.25" x14ac:dyDescent="0.2">
      <c r="A40" s="282" t="s">
        <v>222</v>
      </c>
      <c r="B40" s="285">
        <f>8+54+105+10+1+21+11+69+2</f>
        <v>281</v>
      </c>
      <c r="C40" s="285">
        <f>(331.73+774.04+8722.28+30693.7+3413.84+8381.2+81283.37+11230.3)/1000</f>
        <v>144.83045999999996</v>
      </c>
    </row>
    <row r="41" spans="1:3" s="282" customFormat="1" ht="14.25" x14ac:dyDescent="0.2">
      <c r="B41" s="284">
        <f>SUM(B32:B40)</f>
        <v>5789</v>
      </c>
      <c r="C41" s="284">
        <f>SUM(C32:C40)</f>
        <v>3382.2952300000002</v>
      </c>
    </row>
    <row r="42" spans="1:3" s="282" customFormat="1" ht="14.25" x14ac:dyDescent="0.2">
      <c r="B42" s="284"/>
      <c r="C42" s="284"/>
    </row>
    <row r="43" spans="1:3" s="282" customFormat="1" ht="14.25" x14ac:dyDescent="0.2">
      <c r="A43" s="282" t="s">
        <v>223</v>
      </c>
      <c r="B43" s="284"/>
      <c r="C43" s="284"/>
    </row>
    <row r="44" spans="1:3" s="282" customFormat="1" ht="14.25" x14ac:dyDescent="0.2">
      <c r="A44" s="282" t="s">
        <v>224</v>
      </c>
      <c r="B44" s="284">
        <f>86+154+321+154</f>
        <v>715</v>
      </c>
      <c r="C44" s="284">
        <f>(12248.78+34373.81+243620.46+101064.57)/1000</f>
        <v>391.30761999999999</v>
      </c>
    </row>
    <row r="45" spans="1:3" s="282" customFormat="1" ht="14.25" x14ac:dyDescent="0.2">
      <c r="A45" s="282" t="s">
        <v>225</v>
      </c>
      <c r="B45" s="287">
        <v>11893</v>
      </c>
      <c r="C45" s="287">
        <f>12619703.15/1000</f>
        <v>12619.703150000001</v>
      </c>
    </row>
    <row r="46" spans="1:3" s="282" customFormat="1" ht="14.25" x14ac:dyDescent="0.2">
      <c r="A46" s="282" t="s">
        <v>226</v>
      </c>
      <c r="B46" s="287">
        <f>4037+1453+2203</f>
        <v>7693</v>
      </c>
      <c r="C46" s="287">
        <f>(4387382.22+2107443.85+3099642.43)/1000</f>
        <v>9594.4685000000009</v>
      </c>
    </row>
    <row r="47" spans="1:3" s="282" customFormat="1" ht="14.25" x14ac:dyDescent="0.2">
      <c r="A47" s="282" t="s">
        <v>227</v>
      </c>
      <c r="B47" s="285">
        <v>9619</v>
      </c>
      <c r="C47" s="285">
        <f>8900243.6/1000</f>
        <v>8900.2435999999998</v>
      </c>
    </row>
    <row r="48" spans="1:3" s="282" customFormat="1" ht="14.25" x14ac:dyDescent="0.2">
      <c r="B48" s="284">
        <f>B44+B45+B46+B47</f>
        <v>29920</v>
      </c>
      <c r="C48" s="284">
        <f>C44+C45+C46+C47</f>
        <v>31505.722870000005</v>
      </c>
    </row>
    <row r="49" spans="1:3" s="282" customFormat="1" ht="14.25" x14ac:dyDescent="0.2">
      <c r="B49" s="284"/>
      <c r="C49" s="284"/>
    </row>
    <row r="50" spans="1:3" s="282" customFormat="1" ht="14.25" x14ac:dyDescent="0.2">
      <c r="A50" s="282" t="s">
        <v>228</v>
      </c>
      <c r="B50" s="284"/>
      <c r="C50" s="284"/>
    </row>
    <row r="51" spans="1:3" s="282" customFormat="1" ht="14.25" x14ac:dyDescent="0.2">
      <c r="A51" s="282" t="s">
        <v>229</v>
      </c>
      <c r="B51" s="285">
        <f>(39786730.29+5020974.31)/1000</f>
        <v>44807.704600000005</v>
      </c>
      <c r="C51" s="285">
        <v>38090</v>
      </c>
    </row>
    <row r="52" spans="1:3" s="282" customFormat="1" ht="14.25" x14ac:dyDescent="0.2">
      <c r="B52" s="284"/>
      <c r="C52" s="284"/>
    </row>
    <row r="53" spans="1:3" s="282" customFormat="1" thickBot="1" x14ac:dyDescent="0.3">
      <c r="A53" s="283" t="s">
        <v>46</v>
      </c>
      <c r="B53" s="286">
        <f>B41+B48+B51</f>
        <v>80516.704599999997</v>
      </c>
      <c r="C53" s="286">
        <v>72172</v>
      </c>
    </row>
    <row r="54" spans="1:3" s="282" customFormat="1" ht="14.25" x14ac:dyDescent="0.2"/>
    <row r="55" spans="1:3" s="282" customFormat="1" ht="14.25" x14ac:dyDescent="0.2"/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ad31fa7-b82d-46cf-bd1c-7499fffad36d">X4ZS3YYYJ7E7-6-108370</_dlc_DocId>
    <_dlc_DocIdUrl xmlns="ead31fa7-b82d-46cf-bd1c-7499fffad36d">
      <Url>http://kpds.br.kworld.kpmg.com/sites/kpmg/_layouts/DocIdRedir.aspx?ID=X4ZS3YYYJ7E7-6-108370</Url>
      <Description>X4ZS3YYYJ7E7-6-108370</Description>
    </_dlc_DocIdUrl>
    <IdSolicitacoes xmlns="c771ad7c-3316-4ba9-8e1e-47d9356fd537">30742</IdSolicitacoe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F9E94A2450346A5E66E5F8779A3C5" ma:contentTypeVersion="9" ma:contentTypeDescription="Create a new document." ma:contentTypeScope="" ma:versionID="e03a97541252483b60c34e266779bf67">
  <xsd:schema xmlns:xsd="http://www.w3.org/2001/XMLSchema" xmlns:xs="http://www.w3.org/2001/XMLSchema" xmlns:p="http://schemas.microsoft.com/office/2006/metadata/properties" xmlns:ns1="c771ad7c-3316-4ba9-8e1e-47d9356fd537" xmlns:ns3="ead31fa7-b82d-46cf-bd1c-7499fffad36d" targetNamespace="http://schemas.microsoft.com/office/2006/metadata/properties" ma:root="true" ma:fieldsID="164ccb433bad0c92780ba4bef860d06e" ns1:_="" ns3:_="">
    <xsd:import namespace="c771ad7c-3316-4ba9-8e1e-47d9356fd537"/>
    <xsd:import namespace="ead31fa7-b82d-46cf-bd1c-7499fffad36d"/>
    <xsd:element name="properties">
      <xsd:complexType>
        <xsd:sequence>
          <xsd:element name="documentManagement">
            <xsd:complexType>
              <xsd:all>
                <xsd:element ref="ns1:IdSolicitacoes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1ad7c-3316-4ba9-8e1e-47d9356fd537" elementFormDefault="qualified">
    <xsd:import namespace="http://schemas.microsoft.com/office/2006/documentManagement/types"/>
    <xsd:import namespace="http://schemas.microsoft.com/office/infopath/2007/PartnerControls"/>
    <xsd:element name="IdSolicitacoes" ma:index="0" ma:displayName="IdSolicitacoes" ma:indexed="true" ma:internalName="IdSolicitacoes">
      <xsd:simpleType>
        <xsd:restriction base="dms:Text">
          <xsd:maxLength value="7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31fa7-b82d-46cf-bd1c-7499fffad36d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CCD326D-724B-4487-BF9B-54B29A9BC38F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ead31fa7-b82d-46cf-bd1c-7499fffad36d"/>
    <ds:schemaRef ds:uri="http://schemas.microsoft.com/office/infopath/2007/PartnerControls"/>
    <ds:schemaRef ds:uri="http://schemas.microsoft.com/office/2006/metadata/properties"/>
    <ds:schemaRef ds:uri="c771ad7c-3316-4ba9-8e1e-47d9356fd537"/>
  </ds:schemaRefs>
</ds:datastoreItem>
</file>

<file path=customXml/itemProps2.xml><?xml version="1.0" encoding="utf-8"?>
<ds:datastoreItem xmlns:ds="http://schemas.openxmlformats.org/officeDocument/2006/customXml" ds:itemID="{AF459AF7-F465-4F80-BA79-706E7F7E7A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A265E-4724-49A4-BB06-BB560353FF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71ad7c-3316-4ba9-8e1e-47d9356fd537"/>
    <ds:schemaRef ds:uri="ead31fa7-b82d-46cf-bd1c-7499fffad3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D50178-826E-42D4-B498-74D9160C4D5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Quadro 1 AP</vt:lpstr>
      <vt:lpstr>Quadro 1 BP </vt:lpstr>
      <vt:lpstr>Quadro 3 DMPL</vt:lpstr>
      <vt:lpstr>Plan3</vt:lpstr>
      <vt:lpstr>Quadro 2 DRE</vt:lpstr>
      <vt:lpstr>Quadro 3 DRA</vt:lpstr>
      <vt:lpstr>Quadro 4 DMPL</vt:lpstr>
      <vt:lpstr>Quadro 5 DFC</vt:lpstr>
      <vt:lpstr>Quadro 6 DVA</vt:lpstr>
      <vt:lpstr>'Quadro 1 AP'!Area_de_impressao</vt:lpstr>
      <vt:lpstr>'Quadro 1 BP '!Area_de_impressao</vt:lpstr>
      <vt:lpstr>'Quadro 2 DRE'!Area_de_impressao</vt:lpstr>
      <vt:lpstr>'Quadro 4 DMPL'!Area_de_impressao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Geisa Cristine Moreira</cp:lastModifiedBy>
  <cp:lastPrinted>2018-03-05T17:07:30Z</cp:lastPrinted>
  <dcterms:created xsi:type="dcterms:W3CDTF">2012-03-10T11:08:48Z</dcterms:created>
  <dcterms:modified xsi:type="dcterms:W3CDTF">2018-07-11T19:27:02Z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0x01010007AF9E94A2450346A5E66E5F8779A3C5</vt:lpwstr>
  </property>
  <property fmtid="{D5CDD505-2E9C-101B-9397-08002B2CF9AE}" pid="3" name="ItemRetentionFormula">
    <vt:lpwstr>&lt;formula id="Microsoft.Office.RecordsManagement.PolicyFeatures.Expiration.Formula.BuiltIn"&gt;&lt;number&gt;1&lt;/number&gt;&lt;property&gt;Created&lt;/property&gt;&lt;propertyId&gt;8c06beca-0777-48f7-91c7-6da68bc07b69&lt;/propertyId&gt;&lt;period&gt;days&lt;/period&gt;&lt;/formula&gt;</vt:lpwstr>
  </property>
  <property fmtid="{D5CDD505-2E9C-101B-9397-08002B2CF9AE}" pid="4" name="_dlc_policyId">
    <vt:lpwstr>0x010100FDCD8C2311C768439B77D47BC6707071|-967715278</vt:lpwstr>
  </property>
  <property fmtid="{D5CDD505-2E9C-101B-9397-08002B2CF9AE}" pid="5" name="_dlc_DocIdItemGuid">
    <vt:lpwstr>353eec79-ace5-467c-873d-06bf6b28c280</vt:lpwstr>
  </property>
</Properties>
</file>